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7.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0.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11.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1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4.xml" ContentType="application/vnd.openxmlformats-officedocument.drawing+xml"/>
  <Override PartName="/xl/ctrlProps/ctrlProp45.xml" ContentType="application/vnd.ms-excel.controlproperties+xml"/>
  <Override PartName="/xl/ctrlProps/ctrlProp46.xml" ContentType="application/vnd.ms-excel.controlproperties+xml"/>
  <Override PartName="/xl/drawings/drawing15.xml" ContentType="application/vnd.openxmlformats-officedocument.drawing+xml"/>
  <Override PartName="/xl/ctrlProps/ctrlProp47.xml" ContentType="application/vnd.ms-excel.controlproperties+xml"/>
  <Override PartName="/xl/drawings/drawing16.xml" ContentType="application/vnd.openxmlformats-officedocument.drawing+xml"/>
  <Override PartName="/xl/ctrlProps/ctrlProp48.xml" ContentType="application/vnd.ms-excel.controlproperties+xml"/>
  <Override PartName="/xl/drawings/drawing17.xml" ContentType="application/vnd.openxmlformats-officedocument.drawing+xml"/>
  <Override PartName="/xl/ctrlProps/ctrlProp4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updateLinks="never" codeName="DieseArbeitsmappe" defaultThemeVersion="124226"/>
  <mc:AlternateContent xmlns:mc="http://schemas.openxmlformats.org/markup-compatibility/2006">
    <mc:Choice Requires="x15">
      <x15ac:absPath xmlns:x15ac="http://schemas.microsoft.com/office/spreadsheetml/2010/11/ac" url="V:\2026 Ausschreibungen\Amt 40\SG Interne Dienste und Gebäudemanagement\Liegenschaften\26-032 Unterhaltsreinigung Neustadt VgV\Mail Fachamt\alle Unterlagen letzter Stand 25.08.2026\"/>
    </mc:Choice>
  </mc:AlternateContent>
  <xr:revisionPtr revIDLastSave="0" documentId="13_ncr:1_{69FA0719-876B-48DC-9F97-0A704D48CEBE}" xr6:coauthVersionLast="47" xr6:coauthVersionMax="47" xr10:uidLastSave="{00000000-0000-0000-0000-000000000000}"/>
  <bookViews>
    <workbookView xWindow="3075" yWindow="3075" windowWidth="21600" windowHeight="11385" tabRatio="861" xr2:uid="{00000000-000D-0000-FFFF-FFFF00000000}"/>
  </bookViews>
  <sheets>
    <sheet name="Inhaltsverzeichnis" sheetId="1" r:id="rId1"/>
    <sheet name="Preisübersicht" sheetId="3" r:id="rId2"/>
    <sheet name="SVS UnterhaltsRG" sheetId="38" r:id="rId3"/>
    <sheet name="SVS GrundRG" sheetId="29" r:id="rId4"/>
    <sheet name="Kal Unter PvH AL1" sheetId="60" r:id="rId5"/>
    <sheet name="Kal Grund PvH AL1" sheetId="67" r:id="rId6"/>
    <sheet name="Kal Unter PvH grSchulgeb" sheetId="62" r:id="rId7"/>
    <sheet name="Kal Grund PvH grSchulgeb" sheetId="69" r:id="rId8"/>
    <sheet name="Kal Unter PvH SH" sheetId="64" r:id="rId9"/>
    <sheet name="Kal Grund PvH SH" sheetId="71" r:id="rId10"/>
    <sheet name="Kal Unter PvH soz Gruppe" sheetId="65" r:id="rId11"/>
    <sheet name="Kal Grund PvH soz Gruppe" sheetId="72" r:id="rId12"/>
    <sheet name="Kal Grund PvH WAT" sheetId="74" r:id="rId13"/>
    <sheet name="Kal Rohre u Balken Gesamt" sheetId="53" r:id="rId14"/>
    <sheet name="Kal TeilRG Gesamt" sheetId="48" state="hidden" r:id="rId15"/>
    <sheet name="Kal Verbrauch Gesamt" sheetId="26" state="hidden" r:id="rId16"/>
    <sheet name="Reinigungstage" sheetId="46" r:id="rId17"/>
  </sheets>
  <definedNames>
    <definedName name="berAuftragskosten" localSheetId="5">SVS #REF!</definedName>
    <definedName name="berAuftragskosten" localSheetId="7">SVS #REF!</definedName>
    <definedName name="berAuftragskosten" localSheetId="9">SVS #REF!</definedName>
    <definedName name="berAuftragskosten" localSheetId="11">SVS #REF!</definedName>
    <definedName name="berAuftragskosten" localSheetId="12">SVS #REF!</definedName>
    <definedName name="berAuftragskosten" localSheetId="4">SVS #REF!</definedName>
    <definedName name="berAuftragskosten" localSheetId="6">SVS #REF!</definedName>
    <definedName name="berAuftragskosten" localSheetId="8">SVS #REF!</definedName>
    <definedName name="berAuftragskosten" localSheetId="10">SVS #REF!</definedName>
    <definedName name="berAuftragskosten">SVS #REF!</definedName>
    <definedName name="BereichSVSGrundWC">#REF!</definedName>
    <definedName name="berRGTageObjekt">#REF!</definedName>
    <definedName name="_xlnm.Print_Area" localSheetId="0">Inhaltsverzeichnis!$A$1:$L$23</definedName>
    <definedName name="_xlnm.Print_Area" localSheetId="5">'Kal Grund PvH AL1'!$A$1:$R$37</definedName>
    <definedName name="_xlnm.Print_Area" localSheetId="7">'Kal Grund PvH grSchulgeb'!$A$1:$R$158</definedName>
    <definedName name="_xlnm.Print_Area" localSheetId="9">'Kal Grund PvH SH'!$A$1:$R$68</definedName>
    <definedName name="_xlnm.Print_Area" localSheetId="11">'Kal Grund PvH soz Gruppe'!$A$1:$R$27</definedName>
    <definedName name="_xlnm.Print_Area" localSheetId="12">'Kal Grund PvH WAT'!$A$1:$R$24</definedName>
    <definedName name="_xlnm.Print_Area" localSheetId="13">'Kal Rohre u Balken Gesamt'!$A$1:$K$9</definedName>
    <definedName name="_xlnm.Print_Area" localSheetId="14">'Kal TeilRG Gesamt'!$A$1:$N$7</definedName>
    <definedName name="_xlnm.Print_Area" localSheetId="4">'Kal Unter PvH AL1'!$A$1:$S$42</definedName>
    <definedName name="_xlnm.Print_Area" localSheetId="6">'Kal Unter PvH grSchulgeb'!$A$1:$S$152</definedName>
    <definedName name="_xlnm.Print_Area" localSheetId="8">'Kal Unter PvH SH'!$A$1:$S$70</definedName>
    <definedName name="_xlnm.Print_Area" localSheetId="10">'Kal Unter PvH soz Gruppe'!$A$1:$S$27</definedName>
    <definedName name="_xlnm.Print_Area" localSheetId="15">'Kal Verbrauch Gesamt'!$A$1:$G$7</definedName>
    <definedName name="_xlnm.Print_Area" localSheetId="1">Preisübersicht!$A$1:$J$11</definedName>
    <definedName name="_xlnm.Print_Area" localSheetId="3">'SVS GrundRG'!$A$1:$I$79</definedName>
    <definedName name="_xlnm.Print_Area" localSheetId="2">'SVS UnterhaltsRG'!$A$1:$I$79</definedName>
    <definedName name="_xlnm.Print_Titles" localSheetId="5">'Kal Grund PvH AL1'!$20:$21</definedName>
    <definedName name="_xlnm.Print_Titles" localSheetId="7">'Kal Grund PvH grSchulgeb'!$20:$21</definedName>
    <definedName name="_xlnm.Print_Titles" localSheetId="9">'Kal Grund PvH SH'!$20:$21</definedName>
    <definedName name="_xlnm.Print_Titles" localSheetId="11">'Kal Grund PvH soz Gruppe'!$20:$21</definedName>
    <definedName name="_xlnm.Print_Titles" localSheetId="12">'Kal Grund PvH WAT'!$20:$21</definedName>
    <definedName name="_xlnm.Print_Titles" localSheetId="14">'Kal TeilRG Gesamt'!$1:$4</definedName>
    <definedName name="_xlnm.Print_Titles" localSheetId="4">'Kal Unter PvH AL1'!$20:$21</definedName>
    <definedName name="_xlnm.Print_Titles" localSheetId="6">'Kal Unter PvH grSchulgeb'!$20:$21</definedName>
    <definedName name="_xlnm.Print_Titles" localSheetId="8">'Kal Unter PvH SH'!$20:$21</definedName>
    <definedName name="_xlnm.Print_Titles" localSheetId="10">'Kal Unter PvH soz Gruppe'!$20:$21</definedName>
    <definedName name="_xlnm.Print_Titles" localSheetId="1">Preisübersicht!$1:$5</definedName>
    <definedName name="Ferien">#REF!</definedName>
    <definedName name="sAuftragskosten" localSheetId="5">SVS #REF!</definedName>
    <definedName name="sAuftragskosten" localSheetId="7">SVS #REF!</definedName>
    <definedName name="sAuftragskosten" localSheetId="9">SVS #REF!</definedName>
    <definedName name="sAuftragskosten" localSheetId="11">SVS #REF!</definedName>
    <definedName name="sAuftragskosten" localSheetId="12">SVS #REF!</definedName>
    <definedName name="sAuftragskosten" localSheetId="4">SVS #REF!</definedName>
    <definedName name="sAuftragskosten" localSheetId="6">SVS #REF!</definedName>
    <definedName name="sAuftragskosten" localSheetId="8">SVS #REF!</definedName>
    <definedName name="sAuftragskosten" localSheetId="10">SVS #REF!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2" i="46" l="1"/>
  <c r="P21" i="46"/>
  <c r="J22" i="46"/>
  <c r="J21" i="46"/>
  <c r="H8" i="26"/>
  <c r="G8" i="26"/>
  <c r="G7" i="26"/>
  <c r="G6" i="26"/>
  <c r="H6" i="26"/>
  <c r="H7" i="26"/>
  <c r="F6" i="1"/>
  <c r="S22" i="46"/>
  <c r="R22" i="46"/>
  <c r="Q22" i="46"/>
  <c r="O22" i="46"/>
  <c r="N22" i="46"/>
  <c r="M22" i="46"/>
  <c r="L22" i="46"/>
  <c r="K22" i="46"/>
  <c r="I22" i="46"/>
  <c r="H22" i="46"/>
  <c r="G22" i="46"/>
  <c r="F22" i="46"/>
  <c r="E22" i="46"/>
  <c r="D22" i="46"/>
  <c r="C22" i="46"/>
  <c r="B22" i="46"/>
  <c r="S21" i="46"/>
  <c r="R21" i="46"/>
  <c r="Q21" i="46"/>
  <c r="O21" i="46"/>
  <c r="N21" i="46"/>
  <c r="M21" i="46"/>
  <c r="L21" i="46"/>
  <c r="K21" i="46"/>
  <c r="I21" i="46"/>
  <c r="H21" i="46"/>
  <c r="G21" i="46"/>
  <c r="F21" i="46"/>
  <c r="E21" i="46"/>
  <c r="D21" i="46"/>
  <c r="C21" i="46"/>
  <c r="B21" i="46"/>
  <c r="S20" i="46"/>
  <c r="R20" i="46"/>
  <c r="Q20" i="46"/>
  <c r="H20" i="46"/>
  <c r="G20" i="46"/>
  <c r="F20" i="46"/>
  <c r="E20" i="46"/>
  <c r="D20" i="46"/>
  <c r="C20" i="46"/>
  <c r="B20" i="46"/>
  <c r="S19" i="46"/>
  <c r="R19" i="46"/>
  <c r="Q19" i="46"/>
  <c r="H19" i="46"/>
  <c r="G19" i="46"/>
  <c r="F19" i="46"/>
  <c r="E19" i="46"/>
  <c r="D19" i="46"/>
  <c r="L150" i="62" s="1"/>
  <c r="M150" i="62" s="1"/>
  <c r="C19" i="46"/>
  <c r="B19" i="46"/>
  <c r="S18" i="46"/>
  <c r="R18" i="46"/>
  <c r="Q18" i="46"/>
  <c r="H18" i="46"/>
  <c r="G18" i="46"/>
  <c r="F18" i="46"/>
  <c r="E18" i="46"/>
  <c r="D18" i="46"/>
  <c r="C18" i="46"/>
  <c r="B18" i="46"/>
  <c r="L42" i="60" s="1"/>
  <c r="M42" i="60" s="1"/>
  <c r="S17" i="46"/>
  <c r="R17" i="46"/>
  <c r="Q17" i="46"/>
  <c r="H17" i="46"/>
  <c r="G17" i="46"/>
  <c r="F17" i="46"/>
  <c r="E17" i="46"/>
  <c r="D17" i="46"/>
  <c r="C17" i="46"/>
  <c r="B17" i="46"/>
  <c r="S16" i="46"/>
  <c r="R16" i="46"/>
  <c r="Q16" i="46"/>
  <c r="H16" i="46"/>
  <c r="G16" i="46"/>
  <c r="F16" i="46"/>
  <c r="L63" i="64" s="1"/>
  <c r="M63" i="64" s="1"/>
  <c r="E16" i="46"/>
  <c r="D16" i="46"/>
  <c r="L23" i="62" s="1"/>
  <c r="M23" i="62" s="1"/>
  <c r="C16" i="46"/>
  <c r="B16" i="46"/>
  <c r="S15" i="46"/>
  <c r="R15" i="46"/>
  <c r="Q15" i="46"/>
  <c r="H15" i="46"/>
  <c r="G15" i="46"/>
  <c r="F15" i="46"/>
  <c r="E15" i="46"/>
  <c r="D15" i="46"/>
  <c r="C15" i="46"/>
  <c r="B15" i="46"/>
  <c r="S14" i="46"/>
  <c r="R14" i="46"/>
  <c r="Q14" i="46"/>
  <c r="H14" i="46"/>
  <c r="G14" i="46"/>
  <c r="F14" i="46"/>
  <c r="L24" i="64" s="1"/>
  <c r="M24" i="64" s="1"/>
  <c r="E14" i="46"/>
  <c r="D14" i="46"/>
  <c r="C14" i="46"/>
  <c r="B14" i="46"/>
  <c r="L40" i="60" s="1"/>
  <c r="M40" i="60" s="1"/>
  <c r="S13" i="46"/>
  <c r="R13" i="46"/>
  <c r="Q13" i="46"/>
  <c r="H13" i="46"/>
  <c r="G13" i="46"/>
  <c r="F13" i="46"/>
  <c r="E13" i="46"/>
  <c r="D13" i="46"/>
  <c r="C13" i="46"/>
  <c r="B13" i="46"/>
  <c r="S12" i="46"/>
  <c r="R12" i="46"/>
  <c r="Q12" i="46"/>
  <c r="H12" i="46"/>
  <c r="G12" i="46"/>
  <c r="F12" i="46"/>
  <c r="E12" i="46"/>
  <c r="D12" i="46"/>
  <c r="C12" i="46"/>
  <c r="B12" i="46"/>
  <c r="S11" i="46"/>
  <c r="R11" i="46"/>
  <c r="Q11" i="46"/>
  <c r="H11" i="46"/>
  <c r="G11" i="46"/>
  <c r="F11" i="46"/>
  <c r="E11" i="46"/>
  <c r="D11" i="46"/>
  <c r="C11" i="46"/>
  <c r="B11" i="46"/>
  <c r="S10" i="46"/>
  <c r="R10" i="46"/>
  <c r="Q10" i="46"/>
  <c r="H10" i="46"/>
  <c r="G10" i="46"/>
  <c r="F10" i="46"/>
  <c r="E10" i="46"/>
  <c r="D10" i="46"/>
  <c r="C10" i="46"/>
  <c r="B10" i="46"/>
  <c r="B2" i="46"/>
  <c r="E1" i="46"/>
  <c r="H5" i="26"/>
  <c r="G5" i="26"/>
  <c r="F6" i="3" s="1"/>
  <c r="D2" i="26"/>
  <c r="G7" i="48"/>
  <c r="H7" i="48" s="1"/>
  <c r="K7" i="48" s="1"/>
  <c r="N7" i="48" s="1"/>
  <c r="K6" i="48"/>
  <c r="G6" i="48"/>
  <c r="H6" i="48" s="1"/>
  <c r="G5" i="48"/>
  <c r="H1" i="48"/>
  <c r="F5" i="53"/>
  <c r="G5" i="53" s="1"/>
  <c r="E2" i="53"/>
  <c r="U24" i="74"/>
  <c r="L24" i="74"/>
  <c r="M24" i="74" s="1"/>
  <c r="U23" i="74"/>
  <c r="L23" i="74"/>
  <c r="M23" i="74" s="1"/>
  <c r="U22" i="74"/>
  <c r="L22" i="74"/>
  <c r="I21" i="74"/>
  <c r="H21" i="74"/>
  <c r="G21" i="74"/>
  <c r="B13" i="74"/>
  <c r="N2" i="74"/>
  <c r="U27" i="72"/>
  <c r="V27" i="72" s="1"/>
  <c r="W27" i="72" s="1"/>
  <c r="L27" i="72"/>
  <c r="M27" i="72" s="1"/>
  <c r="U26" i="72"/>
  <c r="L26" i="72"/>
  <c r="M26" i="72" s="1"/>
  <c r="V25" i="72"/>
  <c r="U25" i="72"/>
  <c r="L25" i="72"/>
  <c r="M25" i="72" s="1"/>
  <c r="U24" i="72"/>
  <c r="L24" i="72"/>
  <c r="M24" i="72" s="1"/>
  <c r="V23" i="72"/>
  <c r="W23" i="72" s="1"/>
  <c r="U23" i="72"/>
  <c r="L23" i="72"/>
  <c r="M23" i="72" s="1"/>
  <c r="U22" i="72"/>
  <c r="V22" i="72" s="1"/>
  <c r="W22" i="72" s="1"/>
  <c r="L22" i="72"/>
  <c r="I21" i="72"/>
  <c r="H21" i="72"/>
  <c r="G21" i="72"/>
  <c r="B13" i="72"/>
  <c r="N2" i="72"/>
  <c r="U27" i="65"/>
  <c r="L27" i="65"/>
  <c r="M27" i="65" s="1"/>
  <c r="U26" i="65"/>
  <c r="L26" i="65"/>
  <c r="M26" i="65" s="1"/>
  <c r="U25" i="65"/>
  <c r="L25" i="65"/>
  <c r="M25" i="65" s="1"/>
  <c r="U24" i="65"/>
  <c r="P24" i="65"/>
  <c r="R24" i="65" s="1"/>
  <c r="M24" i="65"/>
  <c r="L24" i="65"/>
  <c r="U23" i="65"/>
  <c r="L23" i="65"/>
  <c r="M23" i="65" s="1"/>
  <c r="U22" i="65"/>
  <c r="L22" i="65"/>
  <c r="I21" i="65"/>
  <c r="H21" i="65"/>
  <c r="G21" i="65"/>
  <c r="B13" i="65"/>
  <c r="B4" i="65"/>
  <c r="N2" i="65"/>
  <c r="U68" i="71"/>
  <c r="V68" i="71" s="1"/>
  <c r="W68" i="71" s="1"/>
  <c r="L68" i="71"/>
  <c r="M68" i="71" s="1"/>
  <c r="U67" i="71"/>
  <c r="L67" i="71"/>
  <c r="M67" i="71" s="1"/>
  <c r="U66" i="71"/>
  <c r="L66" i="71"/>
  <c r="M66" i="71" s="1"/>
  <c r="U65" i="71"/>
  <c r="V65" i="71" s="1"/>
  <c r="W65" i="71" s="1"/>
  <c r="L65" i="71"/>
  <c r="M65" i="71" s="1"/>
  <c r="U64" i="71"/>
  <c r="V64" i="71" s="1"/>
  <c r="W64" i="71" s="1"/>
  <c r="L64" i="71"/>
  <c r="M64" i="71" s="1"/>
  <c r="U63" i="71"/>
  <c r="L63" i="71"/>
  <c r="M63" i="71" s="1"/>
  <c r="U62" i="71"/>
  <c r="L62" i="71"/>
  <c r="M62" i="71" s="1"/>
  <c r="U61" i="71"/>
  <c r="V61" i="71" s="1"/>
  <c r="W61" i="71" s="1"/>
  <c r="L61" i="71"/>
  <c r="M61" i="71" s="1"/>
  <c r="U60" i="71"/>
  <c r="V60" i="71" s="1"/>
  <c r="W60" i="71" s="1"/>
  <c r="L60" i="71"/>
  <c r="M60" i="71" s="1"/>
  <c r="U59" i="71"/>
  <c r="L59" i="71"/>
  <c r="M59" i="71" s="1"/>
  <c r="U58" i="71"/>
  <c r="L58" i="71"/>
  <c r="M58" i="71" s="1"/>
  <c r="U57" i="71"/>
  <c r="V57" i="71" s="1"/>
  <c r="W57" i="71" s="1"/>
  <c r="L57" i="71"/>
  <c r="M57" i="71" s="1"/>
  <c r="U56" i="71"/>
  <c r="V56" i="71" s="1"/>
  <c r="W56" i="71" s="1"/>
  <c r="L56" i="71"/>
  <c r="M56" i="71" s="1"/>
  <c r="U55" i="71"/>
  <c r="L55" i="71"/>
  <c r="M55" i="71" s="1"/>
  <c r="U54" i="71"/>
  <c r="L54" i="71"/>
  <c r="M54" i="71" s="1"/>
  <c r="V53" i="71"/>
  <c r="W53" i="71" s="1"/>
  <c r="U53" i="71"/>
  <c r="L53" i="71"/>
  <c r="M53" i="71" s="1"/>
  <c r="U52" i="71"/>
  <c r="V52" i="71" s="1"/>
  <c r="W52" i="71" s="1"/>
  <c r="P52" i="71"/>
  <c r="L52" i="71"/>
  <c r="M52" i="71" s="1"/>
  <c r="U51" i="71"/>
  <c r="L51" i="71"/>
  <c r="M51" i="71" s="1"/>
  <c r="U50" i="71"/>
  <c r="L50" i="71"/>
  <c r="M50" i="71" s="1"/>
  <c r="U49" i="71"/>
  <c r="V49" i="71" s="1"/>
  <c r="W49" i="71" s="1"/>
  <c r="L49" i="71"/>
  <c r="M49" i="71" s="1"/>
  <c r="U48" i="71"/>
  <c r="V48" i="71" s="1"/>
  <c r="W48" i="71" s="1"/>
  <c r="L48" i="71"/>
  <c r="M48" i="71" s="1"/>
  <c r="U47" i="71"/>
  <c r="L47" i="71"/>
  <c r="M47" i="71" s="1"/>
  <c r="U46" i="71"/>
  <c r="L46" i="71"/>
  <c r="M46" i="71" s="1"/>
  <c r="U45" i="71"/>
  <c r="V45" i="71" s="1"/>
  <c r="W45" i="71" s="1"/>
  <c r="L45" i="71"/>
  <c r="M45" i="71" s="1"/>
  <c r="U44" i="71"/>
  <c r="V44" i="71" s="1"/>
  <c r="W44" i="71" s="1"/>
  <c r="L44" i="71"/>
  <c r="M44" i="71" s="1"/>
  <c r="U43" i="71"/>
  <c r="L43" i="71"/>
  <c r="M43" i="71" s="1"/>
  <c r="U42" i="71"/>
  <c r="P42" i="71"/>
  <c r="L42" i="71"/>
  <c r="M42" i="71" s="1"/>
  <c r="U41" i="71"/>
  <c r="V41" i="71" s="1"/>
  <c r="W41" i="71" s="1"/>
  <c r="L41" i="71"/>
  <c r="M41" i="71" s="1"/>
  <c r="U40" i="71"/>
  <c r="P40" i="71"/>
  <c r="L40" i="71"/>
  <c r="M40" i="71" s="1"/>
  <c r="U39" i="71"/>
  <c r="V39" i="71" s="1"/>
  <c r="W39" i="71" s="1"/>
  <c r="L39" i="71"/>
  <c r="M39" i="71" s="1"/>
  <c r="U38" i="71"/>
  <c r="L38" i="71"/>
  <c r="M38" i="71" s="1"/>
  <c r="U37" i="71"/>
  <c r="V37" i="71" s="1"/>
  <c r="W37" i="71" s="1"/>
  <c r="L37" i="71"/>
  <c r="M37" i="71" s="1"/>
  <c r="U36" i="71"/>
  <c r="V36" i="71" s="1"/>
  <c r="W36" i="71" s="1"/>
  <c r="L36" i="71"/>
  <c r="M36" i="71" s="1"/>
  <c r="U35" i="71"/>
  <c r="V35" i="71" s="1"/>
  <c r="W35" i="71" s="1"/>
  <c r="L35" i="71"/>
  <c r="M35" i="71" s="1"/>
  <c r="U34" i="71"/>
  <c r="L34" i="71"/>
  <c r="M34" i="71" s="1"/>
  <c r="U33" i="71"/>
  <c r="P33" i="71"/>
  <c r="L33" i="71"/>
  <c r="M33" i="71" s="1"/>
  <c r="U32" i="71"/>
  <c r="L32" i="71"/>
  <c r="M32" i="71" s="1"/>
  <c r="U31" i="71"/>
  <c r="V31" i="71" s="1"/>
  <c r="W31" i="71" s="1"/>
  <c r="L31" i="71"/>
  <c r="M31" i="71" s="1"/>
  <c r="U30" i="71"/>
  <c r="L30" i="71"/>
  <c r="M30" i="71" s="1"/>
  <c r="U29" i="71"/>
  <c r="V29" i="71" s="1"/>
  <c r="L29" i="71"/>
  <c r="M29" i="71" s="1"/>
  <c r="U28" i="71"/>
  <c r="V28" i="71" s="1"/>
  <c r="W28" i="71" s="1"/>
  <c r="L28" i="71"/>
  <c r="M28" i="71" s="1"/>
  <c r="U27" i="71"/>
  <c r="V27" i="71" s="1"/>
  <c r="W27" i="71" s="1"/>
  <c r="L27" i="71"/>
  <c r="M27" i="71" s="1"/>
  <c r="U26" i="71"/>
  <c r="L26" i="71"/>
  <c r="M26" i="71" s="1"/>
  <c r="U25" i="71"/>
  <c r="L25" i="71"/>
  <c r="M25" i="71" s="1"/>
  <c r="U24" i="71"/>
  <c r="V24" i="71" s="1"/>
  <c r="W24" i="71" s="1"/>
  <c r="L24" i="71"/>
  <c r="M24" i="71" s="1"/>
  <c r="U23" i="71"/>
  <c r="L23" i="71"/>
  <c r="M23" i="71" s="1"/>
  <c r="U22" i="71"/>
  <c r="L22" i="71"/>
  <c r="I21" i="71"/>
  <c r="H21" i="71"/>
  <c r="G21" i="71"/>
  <c r="B13" i="71"/>
  <c r="N2" i="71"/>
  <c r="U70" i="64"/>
  <c r="L70" i="64"/>
  <c r="M70" i="64" s="1"/>
  <c r="U69" i="64"/>
  <c r="L69" i="64"/>
  <c r="M69" i="64" s="1"/>
  <c r="U68" i="64"/>
  <c r="L68" i="64"/>
  <c r="M68" i="64" s="1"/>
  <c r="U67" i="64"/>
  <c r="M67" i="64"/>
  <c r="L67" i="64"/>
  <c r="U66" i="64"/>
  <c r="M66" i="64"/>
  <c r="L66" i="64"/>
  <c r="U65" i="64"/>
  <c r="L65" i="64"/>
  <c r="M65" i="64" s="1"/>
  <c r="U64" i="64"/>
  <c r="M64" i="64"/>
  <c r="L64" i="64"/>
  <c r="U63" i="64"/>
  <c r="U62" i="64"/>
  <c r="U61" i="64"/>
  <c r="U60" i="64"/>
  <c r="U59" i="64"/>
  <c r="L59" i="64"/>
  <c r="M59" i="64" s="1"/>
  <c r="U58" i="64"/>
  <c r="U57" i="64"/>
  <c r="M57" i="64"/>
  <c r="L57" i="64"/>
  <c r="U56" i="64"/>
  <c r="U55" i="64"/>
  <c r="U54" i="64"/>
  <c r="U53" i="64"/>
  <c r="U52" i="64"/>
  <c r="U51" i="64"/>
  <c r="U50" i="64"/>
  <c r="U49" i="64"/>
  <c r="U48" i="64"/>
  <c r="U47" i="64"/>
  <c r="U46" i="64"/>
  <c r="U45" i="64"/>
  <c r="U44" i="64"/>
  <c r="U43" i="64"/>
  <c r="U42" i="64"/>
  <c r="U41" i="64"/>
  <c r="U40" i="64"/>
  <c r="U39" i="64"/>
  <c r="U38" i="64"/>
  <c r="U37" i="64"/>
  <c r="U36" i="64"/>
  <c r="U35" i="64"/>
  <c r="U34" i="64"/>
  <c r="L34" i="64"/>
  <c r="M34" i="64" s="1"/>
  <c r="U33" i="64"/>
  <c r="U32" i="64"/>
  <c r="U31" i="64"/>
  <c r="U30" i="64"/>
  <c r="U29" i="64"/>
  <c r="U28" i="64"/>
  <c r="U27" i="64"/>
  <c r="U26" i="64"/>
  <c r="U25" i="64"/>
  <c r="L25" i="64"/>
  <c r="M25" i="64" s="1"/>
  <c r="T25" i="64" s="1"/>
  <c r="U24" i="64"/>
  <c r="U23" i="64"/>
  <c r="U22" i="64"/>
  <c r="I21" i="64"/>
  <c r="H21" i="64"/>
  <c r="G21" i="64"/>
  <c r="B13" i="64"/>
  <c r="N2" i="64"/>
  <c r="U158" i="69"/>
  <c r="V158" i="69" s="1"/>
  <c r="W158" i="69" s="1"/>
  <c r="L158" i="69"/>
  <c r="M158" i="69" s="1"/>
  <c r="U157" i="69"/>
  <c r="V157" i="69" s="1"/>
  <c r="W157" i="69" s="1"/>
  <c r="L157" i="69"/>
  <c r="M157" i="69" s="1"/>
  <c r="U156" i="69"/>
  <c r="L156" i="69"/>
  <c r="M156" i="69" s="1"/>
  <c r="U155" i="69"/>
  <c r="L155" i="69"/>
  <c r="M155" i="69" s="1"/>
  <c r="U154" i="69"/>
  <c r="V154" i="69" s="1"/>
  <c r="W154" i="69" s="1"/>
  <c r="L154" i="69"/>
  <c r="M154" i="69" s="1"/>
  <c r="U153" i="69"/>
  <c r="L153" i="69"/>
  <c r="M153" i="69" s="1"/>
  <c r="U152" i="69"/>
  <c r="V152" i="69" s="1"/>
  <c r="W152" i="69" s="1"/>
  <c r="L152" i="69"/>
  <c r="M152" i="69" s="1"/>
  <c r="U151" i="69"/>
  <c r="V151" i="69" s="1"/>
  <c r="W151" i="69" s="1"/>
  <c r="L151" i="69"/>
  <c r="M151" i="69" s="1"/>
  <c r="U150" i="69"/>
  <c r="V150" i="69" s="1"/>
  <c r="W150" i="69" s="1"/>
  <c r="L150" i="69"/>
  <c r="M150" i="69" s="1"/>
  <c r="U149" i="69"/>
  <c r="V149" i="69" s="1"/>
  <c r="W149" i="69" s="1"/>
  <c r="L149" i="69"/>
  <c r="M149" i="69" s="1"/>
  <c r="U148" i="69"/>
  <c r="L148" i="69"/>
  <c r="M148" i="69" s="1"/>
  <c r="U147" i="69"/>
  <c r="L147" i="69"/>
  <c r="M147" i="69" s="1"/>
  <c r="U146" i="69"/>
  <c r="V146" i="69" s="1"/>
  <c r="W146" i="69" s="1"/>
  <c r="L146" i="69"/>
  <c r="M146" i="69" s="1"/>
  <c r="U145" i="69"/>
  <c r="L145" i="69"/>
  <c r="M145" i="69" s="1"/>
  <c r="U144" i="69"/>
  <c r="V144" i="69" s="1"/>
  <c r="W144" i="69" s="1"/>
  <c r="L144" i="69"/>
  <c r="M144" i="69" s="1"/>
  <c r="U143" i="69"/>
  <c r="V143" i="69" s="1"/>
  <c r="W143" i="69" s="1"/>
  <c r="L143" i="69"/>
  <c r="M143" i="69" s="1"/>
  <c r="U142" i="69"/>
  <c r="V142" i="69" s="1"/>
  <c r="W142" i="69" s="1"/>
  <c r="L142" i="69"/>
  <c r="M142" i="69" s="1"/>
  <c r="U141" i="69"/>
  <c r="V141" i="69" s="1"/>
  <c r="W141" i="69" s="1"/>
  <c r="L141" i="69"/>
  <c r="M141" i="69" s="1"/>
  <c r="U140" i="69"/>
  <c r="L140" i="69"/>
  <c r="M140" i="69" s="1"/>
  <c r="U139" i="69"/>
  <c r="L139" i="69"/>
  <c r="M139" i="69" s="1"/>
  <c r="U138" i="69"/>
  <c r="V138" i="69" s="1"/>
  <c r="W138" i="69" s="1"/>
  <c r="L138" i="69"/>
  <c r="M138" i="69" s="1"/>
  <c r="U137" i="69"/>
  <c r="L137" i="69"/>
  <c r="M137" i="69" s="1"/>
  <c r="U136" i="69"/>
  <c r="V136" i="69" s="1"/>
  <c r="W136" i="69" s="1"/>
  <c r="L136" i="69"/>
  <c r="M136" i="69" s="1"/>
  <c r="U135" i="69"/>
  <c r="V135" i="69" s="1"/>
  <c r="W135" i="69" s="1"/>
  <c r="L135" i="69"/>
  <c r="M135" i="69" s="1"/>
  <c r="U134" i="69"/>
  <c r="V134" i="69" s="1"/>
  <c r="W134" i="69" s="1"/>
  <c r="L134" i="69"/>
  <c r="M134" i="69" s="1"/>
  <c r="U133" i="69"/>
  <c r="V133" i="69" s="1"/>
  <c r="W133" i="69" s="1"/>
  <c r="L133" i="69"/>
  <c r="M133" i="69" s="1"/>
  <c r="U132" i="69"/>
  <c r="L132" i="69"/>
  <c r="M132" i="69" s="1"/>
  <c r="U131" i="69"/>
  <c r="L131" i="69"/>
  <c r="M131" i="69" s="1"/>
  <c r="U130" i="69"/>
  <c r="L130" i="69"/>
  <c r="M130" i="69" s="1"/>
  <c r="U129" i="69"/>
  <c r="L129" i="69"/>
  <c r="M129" i="69" s="1"/>
  <c r="U128" i="69"/>
  <c r="V128" i="69" s="1"/>
  <c r="W128" i="69" s="1"/>
  <c r="L128" i="69"/>
  <c r="M128" i="69" s="1"/>
  <c r="U127" i="69"/>
  <c r="L127" i="69"/>
  <c r="M127" i="69" s="1"/>
  <c r="U126" i="69"/>
  <c r="V126" i="69" s="1"/>
  <c r="W126" i="69" s="1"/>
  <c r="L126" i="69"/>
  <c r="M126" i="69" s="1"/>
  <c r="U125" i="69"/>
  <c r="V125" i="69" s="1"/>
  <c r="W125" i="69" s="1"/>
  <c r="L125" i="69"/>
  <c r="M125" i="69" s="1"/>
  <c r="U124" i="69"/>
  <c r="L124" i="69"/>
  <c r="M124" i="69" s="1"/>
  <c r="U123" i="69"/>
  <c r="V123" i="69" s="1"/>
  <c r="L123" i="69"/>
  <c r="M123" i="69" s="1"/>
  <c r="U122" i="69"/>
  <c r="L122" i="69"/>
  <c r="M122" i="69" s="1"/>
  <c r="U121" i="69"/>
  <c r="L121" i="69"/>
  <c r="M121" i="69" s="1"/>
  <c r="U120" i="69"/>
  <c r="V120" i="69" s="1"/>
  <c r="L120" i="69"/>
  <c r="M120" i="69" s="1"/>
  <c r="U119" i="69"/>
  <c r="L119" i="69"/>
  <c r="M119" i="69" s="1"/>
  <c r="U118" i="69"/>
  <c r="L118" i="69"/>
  <c r="M118" i="69" s="1"/>
  <c r="U117" i="69"/>
  <c r="V117" i="69" s="1"/>
  <c r="W117" i="69" s="1"/>
  <c r="L117" i="69"/>
  <c r="M117" i="69" s="1"/>
  <c r="U116" i="69"/>
  <c r="L116" i="69"/>
  <c r="M116" i="69" s="1"/>
  <c r="U115" i="69"/>
  <c r="L115" i="69"/>
  <c r="M115" i="69" s="1"/>
  <c r="U114" i="69"/>
  <c r="L114" i="69"/>
  <c r="M114" i="69" s="1"/>
  <c r="U113" i="69"/>
  <c r="V113" i="69" s="1"/>
  <c r="W113" i="69" s="1"/>
  <c r="L113" i="69"/>
  <c r="M113" i="69" s="1"/>
  <c r="U112" i="69"/>
  <c r="L112" i="69"/>
  <c r="M112" i="69" s="1"/>
  <c r="U111" i="69"/>
  <c r="L111" i="69"/>
  <c r="M111" i="69" s="1"/>
  <c r="U110" i="69"/>
  <c r="V110" i="69" s="1"/>
  <c r="L110" i="69"/>
  <c r="M110" i="69" s="1"/>
  <c r="U109" i="69"/>
  <c r="V109" i="69" s="1"/>
  <c r="W109" i="69" s="1"/>
  <c r="L109" i="69"/>
  <c r="M109" i="69" s="1"/>
  <c r="U108" i="69"/>
  <c r="L108" i="69"/>
  <c r="M108" i="69" s="1"/>
  <c r="U107" i="69"/>
  <c r="V107" i="69" s="1"/>
  <c r="L107" i="69"/>
  <c r="M107" i="69" s="1"/>
  <c r="U106" i="69"/>
  <c r="L106" i="69"/>
  <c r="M106" i="69" s="1"/>
  <c r="U105" i="69"/>
  <c r="L105" i="69"/>
  <c r="M105" i="69" s="1"/>
  <c r="U104" i="69"/>
  <c r="V104" i="69" s="1"/>
  <c r="L104" i="69"/>
  <c r="M104" i="69" s="1"/>
  <c r="U103" i="69"/>
  <c r="L103" i="69"/>
  <c r="M103" i="69" s="1"/>
  <c r="U102" i="69"/>
  <c r="L102" i="69"/>
  <c r="M102" i="69" s="1"/>
  <c r="U101" i="69"/>
  <c r="V101" i="69" s="1"/>
  <c r="W101" i="69" s="1"/>
  <c r="L101" i="69"/>
  <c r="M101" i="69" s="1"/>
  <c r="U100" i="69"/>
  <c r="V100" i="69" s="1"/>
  <c r="W100" i="69" s="1"/>
  <c r="L100" i="69"/>
  <c r="M100" i="69" s="1"/>
  <c r="U99" i="69"/>
  <c r="V99" i="69" s="1"/>
  <c r="W99" i="69" s="1"/>
  <c r="L99" i="69"/>
  <c r="M99" i="69" s="1"/>
  <c r="U98" i="69"/>
  <c r="V98" i="69" s="1"/>
  <c r="W98" i="69" s="1"/>
  <c r="L98" i="69"/>
  <c r="M98" i="69" s="1"/>
  <c r="U97" i="69"/>
  <c r="L97" i="69"/>
  <c r="M97" i="69" s="1"/>
  <c r="U96" i="69"/>
  <c r="L96" i="69"/>
  <c r="M96" i="69" s="1"/>
  <c r="U95" i="69"/>
  <c r="V95" i="69" s="1"/>
  <c r="W95" i="69" s="1"/>
  <c r="L95" i="69"/>
  <c r="M95" i="69" s="1"/>
  <c r="U94" i="69"/>
  <c r="L94" i="69"/>
  <c r="M94" i="69" s="1"/>
  <c r="U93" i="69"/>
  <c r="V93" i="69" s="1"/>
  <c r="W93" i="69" s="1"/>
  <c r="L93" i="69"/>
  <c r="M93" i="69" s="1"/>
  <c r="U92" i="69"/>
  <c r="V92" i="69" s="1"/>
  <c r="W92" i="69" s="1"/>
  <c r="L92" i="69"/>
  <c r="M92" i="69" s="1"/>
  <c r="U91" i="69"/>
  <c r="V91" i="69" s="1"/>
  <c r="W91" i="69" s="1"/>
  <c r="L91" i="69"/>
  <c r="M91" i="69" s="1"/>
  <c r="U90" i="69"/>
  <c r="V90" i="69" s="1"/>
  <c r="W90" i="69" s="1"/>
  <c r="L90" i="69"/>
  <c r="M90" i="69" s="1"/>
  <c r="U89" i="69"/>
  <c r="L89" i="69"/>
  <c r="M89" i="69" s="1"/>
  <c r="U88" i="69"/>
  <c r="L88" i="69"/>
  <c r="M88" i="69" s="1"/>
  <c r="U87" i="69"/>
  <c r="V87" i="69" s="1"/>
  <c r="W87" i="69" s="1"/>
  <c r="L87" i="69"/>
  <c r="M87" i="69" s="1"/>
  <c r="U86" i="69"/>
  <c r="L86" i="69"/>
  <c r="M86" i="69" s="1"/>
  <c r="U85" i="69"/>
  <c r="V85" i="69" s="1"/>
  <c r="W85" i="69" s="1"/>
  <c r="L85" i="69"/>
  <c r="M85" i="69" s="1"/>
  <c r="U84" i="69"/>
  <c r="V84" i="69" s="1"/>
  <c r="W84" i="69" s="1"/>
  <c r="L84" i="69"/>
  <c r="M84" i="69" s="1"/>
  <c r="U83" i="69"/>
  <c r="L83" i="69"/>
  <c r="M83" i="69" s="1"/>
  <c r="U82" i="69"/>
  <c r="V82" i="69" s="1"/>
  <c r="W82" i="69" s="1"/>
  <c r="L82" i="69"/>
  <c r="M82" i="69" s="1"/>
  <c r="U81" i="69"/>
  <c r="L81" i="69"/>
  <c r="M81" i="69" s="1"/>
  <c r="U80" i="69"/>
  <c r="V80" i="69" s="1"/>
  <c r="W80" i="69" s="1"/>
  <c r="L80" i="69"/>
  <c r="M80" i="69" s="1"/>
  <c r="U79" i="69"/>
  <c r="L79" i="69"/>
  <c r="M79" i="69" s="1"/>
  <c r="U78" i="69"/>
  <c r="L78" i="69"/>
  <c r="M78" i="69" s="1"/>
  <c r="U77" i="69"/>
  <c r="V77" i="69" s="1"/>
  <c r="L77" i="69"/>
  <c r="M77" i="69" s="1"/>
  <c r="U76" i="69"/>
  <c r="L76" i="69"/>
  <c r="M76" i="69" s="1"/>
  <c r="U75" i="69"/>
  <c r="L75" i="69"/>
  <c r="M75" i="69" s="1"/>
  <c r="U74" i="69"/>
  <c r="V74" i="69" s="1"/>
  <c r="W74" i="69" s="1"/>
  <c r="L74" i="69"/>
  <c r="M74" i="69" s="1"/>
  <c r="U73" i="69"/>
  <c r="L73" i="69"/>
  <c r="M73" i="69" s="1"/>
  <c r="U72" i="69"/>
  <c r="L72" i="69"/>
  <c r="M72" i="69" s="1"/>
  <c r="U71" i="69"/>
  <c r="V71" i="69" s="1"/>
  <c r="L71" i="69"/>
  <c r="M71" i="69" s="1"/>
  <c r="U70" i="69"/>
  <c r="L70" i="69"/>
  <c r="M70" i="69" s="1"/>
  <c r="U69" i="69"/>
  <c r="L69" i="69"/>
  <c r="M69" i="69" s="1"/>
  <c r="U68" i="69"/>
  <c r="V68" i="69" s="1"/>
  <c r="L68" i="69"/>
  <c r="M68" i="69" s="1"/>
  <c r="U67" i="69"/>
  <c r="L67" i="69"/>
  <c r="M67" i="69" s="1"/>
  <c r="U66" i="69"/>
  <c r="V66" i="69" s="1"/>
  <c r="W66" i="69" s="1"/>
  <c r="L66" i="69"/>
  <c r="M66" i="69" s="1"/>
  <c r="U65" i="69"/>
  <c r="L65" i="69"/>
  <c r="M65" i="69" s="1"/>
  <c r="U64" i="69"/>
  <c r="V64" i="69" s="1"/>
  <c r="W64" i="69" s="1"/>
  <c r="L64" i="69"/>
  <c r="M64" i="69" s="1"/>
  <c r="U63" i="69"/>
  <c r="L63" i="69"/>
  <c r="M63" i="69" s="1"/>
  <c r="U62" i="69"/>
  <c r="L62" i="69"/>
  <c r="M62" i="69" s="1"/>
  <c r="U61" i="69"/>
  <c r="L61" i="69"/>
  <c r="M61" i="69" s="1"/>
  <c r="U60" i="69"/>
  <c r="L60" i="69"/>
  <c r="M60" i="69" s="1"/>
  <c r="U59" i="69"/>
  <c r="L59" i="69"/>
  <c r="M59" i="69" s="1"/>
  <c r="U58" i="69"/>
  <c r="V58" i="69" s="1"/>
  <c r="W58" i="69" s="1"/>
  <c r="L58" i="69"/>
  <c r="M58" i="69" s="1"/>
  <c r="U57" i="69"/>
  <c r="L57" i="69"/>
  <c r="M57" i="69" s="1"/>
  <c r="U56" i="69"/>
  <c r="V56" i="69" s="1"/>
  <c r="W56" i="69" s="1"/>
  <c r="L56" i="69"/>
  <c r="M56" i="69" s="1"/>
  <c r="U55" i="69"/>
  <c r="V55" i="69" s="1"/>
  <c r="L55" i="69"/>
  <c r="M55" i="69" s="1"/>
  <c r="U54" i="69"/>
  <c r="L54" i="69"/>
  <c r="M54" i="69" s="1"/>
  <c r="U53" i="69"/>
  <c r="L53" i="69"/>
  <c r="M53" i="69" s="1"/>
  <c r="U52" i="69"/>
  <c r="V52" i="69" s="1"/>
  <c r="L52" i="69"/>
  <c r="M52" i="69" s="1"/>
  <c r="U51" i="69"/>
  <c r="L51" i="69"/>
  <c r="M51" i="69" s="1"/>
  <c r="U50" i="69"/>
  <c r="V50" i="69" s="1"/>
  <c r="W50" i="69" s="1"/>
  <c r="L50" i="69"/>
  <c r="M50" i="69" s="1"/>
  <c r="U49" i="69"/>
  <c r="L49" i="69"/>
  <c r="M49" i="69" s="1"/>
  <c r="U48" i="69"/>
  <c r="V48" i="69" s="1"/>
  <c r="W48" i="69" s="1"/>
  <c r="L48" i="69"/>
  <c r="M48" i="69" s="1"/>
  <c r="U47" i="69"/>
  <c r="L47" i="69"/>
  <c r="M47" i="69" s="1"/>
  <c r="U46" i="69"/>
  <c r="L46" i="69"/>
  <c r="M46" i="69" s="1"/>
  <c r="U45" i="69"/>
  <c r="L45" i="69"/>
  <c r="M45" i="69" s="1"/>
  <c r="U44" i="69"/>
  <c r="L44" i="69"/>
  <c r="M44" i="69" s="1"/>
  <c r="U43" i="69"/>
  <c r="L43" i="69"/>
  <c r="M43" i="69" s="1"/>
  <c r="U42" i="69"/>
  <c r="V42" i="69" s="1"/>
  <c r="W42" i="69" s="1"/>
  <c r="L42" i="69"/>
  <c r="M42" i="69" s="1"/>
  <c r="U41" i="69"/>
  <c r="V41" i="69" s="1"/>
  <c r="W41" i="69" s="1"/>
  <c r="L41" i="69"/>
  <c r="M41" i="69" s="1"/>
  <c r="U40" i="69"/>
  <c r="L40" i="69"/>
  <c r="M40" i="69" s="1"/>
  <c r="U39" i="69"/>
  <c r="V39" i="69" s="1"/>
  <c r="W39" i="69" s="1"/>
  <c r="L39" i="69"/>
  <c r="M39" i="69" s="1"/>
  <c r="U38" i="69"/>
  <c r="L38" i="69"/>
  <c r="M38" i="69" s="1"/>
  <c r="U37" i="69"/>
  <c r="V37" i="69" s="1"/>
  <c r="W37" i="69" s="1"/>
  <c r="L37" i="69"/>
  <c r="M37" i="69" s="1"/>
  <c r="U36" i="69"/>
  <c r="L36" i="69"/>
  <c r="M36" i="69" s="1"/>
  <c r="U35" i="69"/>
  <c r="L35" i="69"/>
  <c r="M35" i="69" s="1"/>
  <c r="U34" i="69"/>
  <c r="L34" i="69"/>
  <c r="M34" i="69" s="1"/>
  <c r="U33" i="69"/>
  <c r="L33" i="69"/>
  <c r="M33" i="69" s="1"/>
  <c r="U32" i="69"/>
  <c r="L32" i="69"/>
  <c r="M32" i="69" s="1"/>
  <c r="U31" i="69"/>
  <c r="V31" i="69" s="1"/>
  <c r="W31" i="69" s="1"/>
  <c r="L31" i="69"/>
  <c r="M31" i="69" s="1"/>
  <c r="U30" i="69"/>
  <c r="L30" i="69"/>
  <c r="M30" i="69" s="1"/>
  <c r="U29" i="69"/>
  <c r="V29" i="69" s="1"/>
  <c r="W29" i="69" s="1"/>
  <c r="L29" i="69"/>
  <c r="M29" i="69" s="1"/>
  <c r="U28" i="69"/>
  <c r="V28" i="69" s="1"/>
  <c r="L28" i="69"/>
  <c r="M28" i="69" s="1"/>
  <c r="U27" i="69"/>
  <c r="L27" i="69"/>
  <c r="M27" i="69" s="1"/>
  <c r="U26" i="69"/>
  <c r="L26" i="69"/>
  <c r="M26" i="69" s="1"/>
  <c r="U25" i="69"/>
  <c r="V25" i="69" s="1"/>
  <c r="W25" i="69" s="1"/>
  <c r="L25" i="69"/>
  <c r="M25" i="69" s="1"/>
  <c r="U24" i="69"/>
  <c r="L24" i="69"/>
  <c r="M24" i="69" s="1"/>
  <c r="U23" i="69"/>
  <c r="V23" i="69" s="1"/>
  <c r="W23" i="69" s="1"/>
  <c r="L23" i="69"/>
  <c r="M23" i="69" s="1"/>
  <c r="U22" i="69"/>
  <c r="L22" i="69"/>
  <c r="I21" i="69"/>
  <c r="H21" i="69"/>
  <c r="G21" i="69"/>
  <c r="B13" i="69"/>
  <c r="B4" i="69"/>
  <c r="N2" i="69"/>
  <c r="U152" i="62"/>
  <c r="L152" i="62"/>
  <c r="M152" i="62" s="1"/>
  <c r="U151" i="62"/>
  <c r="P151" i="62"/>
  <c r="R151" i="62" s="1"/>
  <c r="L151" i="62"/>
  <c r="M151" i="62" s="1"/>
  <c r="U150" i="62"/>
  <c r="U149" i="62"/>
  <c r="L149" i="62"/>
  <c r="M149" i="62" s="1"/>
  <c r="U148" i="62"/>
  <c r="P148" i="62"/>
  <c r="R148" i="62" s="1"/>
  <c r="L148" i="62"/>
  <c r="M148" i="62" s="1"/>
  <c r="U147" i="62"/>
  <c r="U146" i="62"/>
  <c r="L146" i="62"/>
  <c r="M146" i="62" s="1"/>
  <c r="U145" i="62"/>
  <c r="P145" i="62"/>
  <c r="R145" i="62" s="1"/>
  <c r="L145" i="62"/>
  <c r="M145" i="62" s="1"/>
  <c r="U144" i="62"/>
  <c r="P144" i="62"/>
  <c r="R144" i="62" s="1"/>
  <c r="L144" i="62"/>
  <c r="M144" i="62" s="1"/>
  <c r="U143" i="62"/>
  <c r="U142" i="62"/>
  <c r="L142" i="62"/>
  <c r="M142" i="62" s="1"/>
  <c r="U141" i="62"/>
  <c r="L141" i="62"/>
  <c r="M141" i="62" s="1"/>
  <c r="U140" i="62"/>
  <c r="P140" i="62"/>
  <c r="R140" i="62" s="1"/>
  <c r="L140" i="62"/>
  <c r="M140" i="62" s="1"/>
  <c r="U139" i="62"/>
  <c r="P139" i="62"/>
  <c r="R139" i="62" s="1"/>
  <c r="L139" i="62"/>
  <c r="M139" i="62" s="1"/>
  <c r="U138" i="62"/>
  <c r="L138" i="62"/>
  <c r="M138" i="62" s="1"/>
  <c r="U137" i="62"/>
  <c r="L137" i="62"/>
  <c r="M137" i="62" s="1"/>
  <c r="U136" i="62"/>
  <c r="L136" i="62"/>
  <c r="M136" i="62" s="1"/>
  <c r="U135" i="62"/>
  <c r="L135" i="62"/>
  <c r="M135" i="62" s="1"/>
  <c r="U134" i="62"/>
  <c r="P134" i="62"/>
  <c r="R134" i="62" s="1"/>
  <c r="L134" i="62"/>
  <c r="M134" i="62" s="1"/>
  <c r="U133" i="62"/>
  <c r="P133" i="62"/>
  <c r="R133" i="62" s="1"/>
  <c r="L133" i="62"/>
  <c r="M133" i="62" s="1"/>
  <c r="U132" i="62"/>
  <c r="P132" i="62"/>
  <c r="R132" i="62" s="1"/>
  <c r="L132" i="62"/>
  <c r="M132" i="62" s="1"/>
  <c r="U131" i="62"/>
  <c r="L131" i="62"/>
  <c r="M131" i="62" s="1"/>
  <c r="U130" i="62"/>
  <c r="P130" i="62"/>
  <c r="R130" i="62" s="1"/>
  <c r="L130" i="62"/>
  <c r="M130" i="62" s="1"/>
  <c r="U129" i="62"/>
  <c r="P129" i="62"/>
  <c r="R129" i="62" s="1"/>
  <c r="L129" i="62"/>
  <c r="M129" i="62" s="1"/>
  <c r="U128" i="62"/>
  <c r="P128" i="62"/>
  <c r="R128" i="62" s="1"/>
  <c r="L128" i="62"/>
  <c r="M128" i="62" s="1"/>
  <c r="U127" i="62"/>
  <c r="L127" i="62"/>
  <c r="M127" i="62" s="1"/>
  <c r="U126" i="62"/>
  <c r="L126" i="62"/>
  <c r="M126" i="62" s="1"/>
  <c r="U125" i="62"/>
  <c r="L125" i="62"/>
  <c r="M125" i="62" s="1"/>
  <c r="U124" i="62"/>
  <c r="P124" i="62"/>
  <c r="R124" i="62" s="1"/>
  <c r="L124" i="62"/>
  <c r="M124" i="62" s="1"/>
  <c r="Q124" i="62" s="1"/>
  <c r="S124" i="62" s="1"/>
  <c r="U123" i="62"/>
  <c r="L123" i="62"/>
  <c r="M123" i="62" s="1"/>
  <c r="U122" i="62"/>
  <c r="L122" i="62"/>
  <c r="M122" i="62" s="1"/>
  <c r="U121" i="62"/>
  <c r="L121" i="62"/>
  <c r="M121" i="62" s="1"/>
  <c r="U120" i="62"/>
  <c r="L120" i="62"/>
  <c r="M120" i="62" s="1"/>
  <c r="U119" i="62"/>
  <c r="L119" i="62"/>
  <c r="M119" i="62" s="1"/>
  <c r="U118" i="62"/>
  <c r="L118" i="62"/>
  <c r="M118" i="62" s="1"/>
  <c r="U117" i="62"/>
  <c r="P117" i="62"/>
  <c r="R117" i="62" s="1"/>
  <c r="L117" i="62"/>
  <c r="M117" i="62" s="1"/>
  <c r="U116" i="62"/>
  <c r="L116" i="62"/>
  <c r="M116" i="62" s="1"/>
  <c r="U115" i="62"/>
  <c r="P115" i="62"/>
  <c r="R115" i="62" s="1"/>
  <c r="L115" i="62"/>
  <c r="M115" i="62" s="1"/>
  <c r="U114" i="62"/>
  <c r="P114" i="62"/>
  <c r="R114" i="62" s="1"/>
  <c r="L114" i="62"/>
  <c r="M114" i="62" s="1"/>
  <c r="U113" i="62"/>
  <c r="P113" i="62"/>
  <c r="R113" i="62" s="1"/>
  <c r="L113" i="62"/>
  <c r="M113" i="62" s="1"/>
  <c r="U112" i="62"/>
  <c r="L112" i="62"/>
  <c r="M112" i="62" s="1"/>
  <c r="U111" i="62"/>
  <c r="U110" i="62"/>
  <c r="L110" i="62"/>
  <c r="M110" i="62" s="1"/>
  <c r="U109" i="62"/>
  <c r="P109" i="62"/>
  <c r="R109" i="62" s="1"/>
  <c r="L109" i="62"/>
  <c r="M109" i="62" s="1"/>
  <c r="U108" i="62"/>
  <c r="U107" i="62"/>
  <c r="L107" i="62"/>
  <c r="M107" i="62" s="1"/>
  <c r="U106" i="62"/>
  <c r="L106" i="62"/>
  <c r="M106" i="62" s="1"/>
  <c r="U105" i="62"/>
  <c r="P105" i="62"/>
  <c r="R105" i="62" s="1"/>
  <c r="L105" i="62"/>
  <c r="M105" i="62" s="1"/>
  <c r="U104" i="62"/>
  <c r="L104" i="62"/>
  <c r="M104" i="62" s="1"/>
  <c r="U103" i="62"/>
  <c r="L103" i="62"/>
  <c r="M103" i="62" s="1"/>
  <c r="U102" i="62"/>
  <c r="L102" i="62"/>
  <c r="M102" i="62" s="1"/>
  <c r="U101" i="62"/>
  <c r="P101" i="62"/>
  <c r="R101" i="62" s="1"/>
  <c r="L101" i="62"/>
  <c r="M101" i="62" s="1"/>
  <c r="U100" i="62"/>
  <c r="L100" i="62"/>
  <c r="M100" i="62" s="1"/>
  <c r="U99" i="62"/>
  <c r="L99" i="62"/>
  <c r="M99" i="62" s="1"/>
  <c r="U98" i="62"/>
  <c r="L98" i="62"/>
  <c r="M98" i="62" s="1"/>
  <c r="U97" i="62"/>
  <c r="L97" i="62"/>
  <c r="M97" i="62" s="1"/>
  <c r="U96" i="62"/>
  <c r="L96" i="62"/>
  <c r="M96" i="62" s="1"/>
  <c r="U95" i="62"/>
  <c r="P95" i="62"/>
  <c r="R95" i="62" s="1"/>
  <c r="L95" i="62"/>
  <c r="M95" i="62" s="1"/>
  <c r="U94" i="62"/>
  <c r="L94" i="62"/>
  <c r="M94" i="62" s="1"/>
  <c r="U93" i="62"/>
  <c r="L93" i="62"/>
  <c r="M93" i="62" s="1"/>
  <c r="U92" i="62"/>
  <c r="P92" i="62"/>
  <c r="R92" i="62" s="1"/>
  <c r="L92" i="62"/>
  <c r="M92" i="62" s="1"/>
  <c r="U91" i="62"/>
  <c r="P91" i="62"/>
  <c r="R91" i="62" s="1"/>
  <c r="L91" i="62"/>
  <c r="M91" i="62" s="1"/>
  <c r="U90" i="62"/>
  <c r="P90" i="62"/>
  <c r="R90" i="62" s="1"/>
  <c r="L90" i="62"/>
  <c r="M90" i="62" s="1"/>
  <c r="U89" i="62"/>
  <c r="L89" i="62"/>
  <c r="M89" i="62" s="1"/>
  <c r="U88" i="62"/>
  <c r="P88" i="62"/>
  <c r="R88" i="62" s="1"/>
  <c r="L88" i="62"/>
  <c r="M88" i="62" s="1"/>
  <c r="U87" i="62"/>
  <c r="P87" i="62"/>
  <c r="R87" i="62" s="1"/>
  <c r="L87" i="62"/>
  <c r="M87" i="62" s="1"/>
  <c r="U86" i="62"/>
  <c r="P86" i="62"/>
  <c r="R86" i="62" s="1"/>
  <c r="L86" i="62"/>
  <c r="M86" i="62" s="1"/>
  <c r="U85" i="62"/>
  <c r="L85" i="62"/>
  <c r="M85" i="62" s="1"/>
  <c r="U84" i="62"/>
  <c r="P84" i="62"/>
  <c r="R84" i="62" s="1"/>
  <c r="L84" i="62"/>
  <c r="M84" i="62" s="1"/>
  <c r="U83" i="62"/>
  <c r="P83" i="62"/>
  <c r="R83" i="62" s="1"/>
  <c r="L83" i="62"/>
  <c r="M83" i="62" s="1"/>
  <c r="U82" i="62"/>
  <c r="P82" i="62"/>
  <c r="R82" i="62" s="1"/>
  <c r="L82" i="62"/>
  <c r="M82" i="62" s="1"/>
  <c r="U81" i="62"/>
  <c r="L81" i="62"/>
  <c r="M81" i="62" s="1"/>
  <c r="U80" i="62"/>
  <c r="L80" i="62"/>
  <c r="M80" i="62" s="1"/>
  <c r="U79" i="62"/>
  <c r="L79" i="62"/>
  <c r="M79" i="62" s="1"/>
  <c r="U78" i="62"/>
  <c r="L78" i="62"/>
  <c r="M78" i="62" s="1"/>
  <c r="U77" i="62"/>
  <c r="P77" i="62"/>
  <c r="R77" i="62" s="1"/>
  <c r="L77" i="62"/>
  <c r="M77" i="62" s="1"/>
  <c r="U76" i="62"/>
  <c r="P76" i="62"/>
  <c r="R76" i="62" s="1"/>
  <c r="L76" i="62"/>
  <c r="M76" i="62" s="1"/>
  <c r="U75" i="62"/>
  <c r="L75" i="62"/>
  <c r="M75" i="62" s="1"/>
  <c r="U74" i="62"/>
  <c r="P74" i="62"/>
  <c r="R74" i="62" s="1"/>
  <c r="L74" i="62"/>
  <c r="M74" i="62" s="1"/>
  <c r="U73" i="62"/>
  <c r="L73" i="62"/>
  <c r="M73" i="62" s="1"/>
  <c r="U72" i="62"/>
  <c r="P72" i="62"/>
  <c r="R72" i="62" s="1"/>
  <c r="L72" i="62"/>
  <c r="M72" i="62" s="1"/>
  <c r="U71" i="62"/>
  <c r="L71" i="62"/>
  <c r="M71" i="62" s="1"/>
  <c r="U70" i="62"/>
  <c r="U69" i="62"/>
  <c r="U68" i="62"/>
  <c r="L68" i="62"/>
  <c r="M68" i="62" s="1"/>
  <c r="U67" i="62"/>
  <c r="P67" i="62"/>
  <c r="R67" i="62" s="1"/>
  <c r="L67" i="62"/>
  <c r="M67" i="62" s="1"/>
  <c r="U66" i="62"/>
  <c r="L66" i="62"/>
  <c r="M66" i="62" s="1"/>
  <c r="U65" i="62"/>
  <c r="L65" i="62"/>
  <c r="M65" i="62" s="1"/>
  <c r="U64" i="62"/>
  <c r="U63" i="62"/>
  <c r="U62" i="62"/>
  <c r="L62" i="62"/>
  <c r="M62" i="62" s="1"/>
  <c r="U61" i="62"/>
  <c r="L61" i="62"/>
  <c r="M61" i="62" s="1"/>
  <c r="U60" i="62"/>
  <c r="L60" i="62"/>
  <c r="M60" i="62" s="1"/>
  <c r="U59" i="62"/>
  <c r="P59" i="62"/>
  <c r="R59" i="62" s="1"/>
  <c r="L59" i="62"/>
  <c r="M59" i="62" s="1"/>
  <c r="U58" i="62"/>
  <c r="P58" i="62"/>
  <c r="R58" i="62" s="1"/>
  <c r="L58" i="62"/>
  <c r="M58" i="62" s="1"/>
  <c r="U57" i="62"/>
  <c r="P57" i="62"/>
  <c r="R57" i="62" s="1"/>
  <c r="L57" i="62"/>
  <c r="M57" i="62" s="1"/>
  <c r="U56" i="62"/>
  <c r="L56" i="62"/>
  <c r="M56" i="62" s="1"/>
  <c r="U55" i="62"/>
  <c r="P55" i="62"/>
  <c r="R55" i="62" s="1"/>
  <c r="L55" i="62"/>
  <c r="M55" i="62" s="1"/>
  <c r="U54" i="62"/>
  <c r="P54" i="62"/>
  <c r="R54" i="62" s="1"/>
  <c r="L54" i="62"/>
  <c r="M54" i="62" s="1"/>
  <c r="U53" i="62"/>
  <c r="P53" i="62"/>
  <c r="R53" i="62" s="1"/>
  <c r="L53" i="62"/>
  <c r="M53" i="62" s="1"/>
  <c r="U52" i="62"/>
  <c r="L52" i="62"/>
  <c r="M52" i="62" s="1"/>
  <c r="U51" i="62"/>
  <c r="L51" i="62"/>
  <c r="M51" i="62" s="1"/>
  <c r="U50" i="62"/>
  <c r="P50" i="62"/>
  <c r="R50" i="62" s="1"/>
  <c r="L50" i="62"/>
  <c r="M50" i="62" s="1"/>
  <c r="U49" i="62"/>
  <c r="L49" i="62"/>
  <c r="M49" i="62" s="1"/>
  <c r="U48" i="62"/>
  <c r="L48" i="62"/>
  <c r="M48" i="62" s="1"/>
  <c r="U47" i="62"/>
  <c r="P47" i="62"/>
  <c r="R47" i="62" s="1"/>
  <c r="L47" i="62"/>
  <c r="M47" i="62" s="1"/>
  <c r="U46" i="62"/>
  <c r="L46" i="62"/>
  <c r="M46" i="62" s="1"/>
  <c r="U45" i="62"/>
  <c r="L45" i="62"/>
  <c r="M45" i="62" s="1"/>
  <c r="U44" i="62"/>
  <c r="L44" i="62"/>
  <c r="M44" i="62" s="1"/>
  <c r="U43" i="62"/>
  <c r="L43" i="62"/>
  <c r="M43" i="62" s="1"/>
  <c r="U42" i="62"/>
  <c r="L42" i="62"/>
  <c r="M42" i="62" s="1"/>
  <c r="U41" i="62"/>
  <c r="L41" i="62"/>
  <c r="M41" i="62" s="1"/>
  <c r="U40" i="62"/>
  <c r="L40" i="62"/>
  <c r="M40" i="62" s="1"/>
  <c r="U39" i="62"/>
  <c r="P39" i="62"/>
  <c r="R39" i="62" s="1"/>
  <c r="L39" i="62"/>
  <c r="M39" i="62" s="1"/>
  <c r="U38" i="62"/>
  <c r="P38" i="62"/>
  <c r="R38" i="62" s="1"/>
  <c r="L38" i="62"/>
  <c r="M38" i="62" s="1"/>
  <c r="U37" i="62"/>
  <c r="L37" i="62"/>
  <c r="M37" i="62" s="1"/>
  <c r="U36" i="62"/>
  <c r="P36" i="62"/>
  <c r="R36" i="62" s="1"/>
  <c r="L36" i="62"/>
  <c r="M36" i="62" s="1"/>
  <c r="U35" i="62"/>
  <c r="L35" i="62"/>
  <c r="M35" i="62" s="1"/>
  <c r="U34" i="62"/>
  <c r="L34" i="62"/>
  <c r="U33" i="62"/>
  <c r="L33" i="62"/>
  <c r="M33" i="62" s="1"/>
  <c r="U32" i="62"/>
  <c r="P32" i="62"/>
  <c r="R32" i="62" s="1"/>
  <c r="L32" i="62"/>
  <c r="M32" i="62" s="1"/>
  <c r="U31" i="62"/>
  <c r="L31" i="62"/>
  <c r="M31" i="62" s="1"/>
  <c r="U30" i="62"/>
  <c r="L30" i="62"/>
  <c r="M30" i="62" s="1"/>
  <c r="U29" i="62"/>
  <c r="L29" i="62"/>
  <c r="M29" i="62" s="1"/>
  <c r="U28" i="62"/>
  <c r="L28" i="62"/>
  <c r="M28" i="62" s="1"/>
  <c r="U27" i="62"/>
  <c r="L27" i="62"/>
  <c r="M27" i="62" s="1"/>
  <c r="U26" i="62"/>
  <c r="L26" i="62"/>
  <c r="M26" i="62" s="1"/>
  <c r="U25" i="62"/>
  <c r="U24" i="62"/>
  <c r="L24" i="62"/>
  <c r="M24" i="62" s="1"/>
  <c r="U23" i="62"/>
  <c r="U22" i="62"/>
  <c r="I21" i="62"/>
  <c r="H21" i="62"/>
  <c r="G21" i="62"/>
  <c r="B13" i="62"/>
  <c r="N2" i="62"/>
  <c r="U37" i="67"/>
  <c r="V37" i="67" s="1"/>
  <c r="L37" i="67"/>
  <c r="M37" i="67" s="1"/>
  <c r="U36" i="67"/>
  <c r="V36" i="67" s="1"/>
  <c r="W36" i="67" s="1"/>
  <c r="L36" i="67"/>
  <c r="M36" i="67" s="1"/>
  <c r="U35" i="67"/>
  <c r="V35" i="67" s="1"/>
  <c r="L35" i="67"/>
  <c r="M35" i="67" s="1"/>
  <c r="U34" i="67"/>
  <c r="V34" i="67" s="1"/>
  <c r="L34" i="67"/>
  <c r="M34" i="67" s="1"/>
  <c r="U33" i="67"/>
  <c r="L33" i="67"/>
  <c r="M33" i="67" s="1"/>
  <c r="U32" i="67"/>
  <c r="V32" i="67" s="1"/>
  <c r="W32" i="67" s="1"/>
  <c r="L32" i="67"/>
  <c r="M32" i="67" s="1"/>
  <c r="U31" i="67"/>
  <c r="L31" i="67"/>
  <c r="M31" i="67" s="1"/>
  <c r="U30" i="67"/>
  <c r="V30" i="67" s="1"/>
  <c r="W30" i="67" s="1"/>
  <c r="L30" i="67"/>
  <c r="M30" i="67" s="1"/>
  <c r="U29" i="67"/>
  <c r="V29" i="67" s="1"/>
  <c r="W29" i="67" s="1"/>
  <c r="L29" i="67"/>
  <c r="M29" i="67" s="1"/>
  <c r="U28" i="67"/>
  <c r="L28" i="67"/>
  <c r="M28" i="67" s="1"/>
  <c r="U27" i="67"/>
  <c r="L27" i="67"/>
  <c r="M27" i="67" s="1"/>
  <c r="U26" i="67"/>
  <c r="L26" i="67"/>
  <c r="M26" i="67" s="1"/>
  <c r="U25" i="67"/>
  <c r="V25" i="67" s="1"/>
  <c r="W25" i="67" s="1"/>
  <c r="L25" i="67"/>
  <c r="M25" i="67" s="1"/>
  <c r="U24" i="67"/>
  <c r="V24" i="67" s="1"/>
  <c r="L24" i="67"/>
  <c r="M24" i="67" s="1"/>
  <c r="U23" i="67"/>
  <c r="V23" i="67" s="1"/>
  <c r="W23" i="67" s="1"/>
  <c r="L23" i="67"/>
  <c r="U22" i="67"/>
  <c r="L22" i="67"/>
  <c r="I21" i="67"/>
  <c r="H21" i="67"/>
  <c r="G21" i="67"/>
  <c r="B13" i="67"/>
  <c r="N2" i="67"/>
  <c r="U42" i="60"/>
  <c r="U41" i="60"/>
  <c r="L41" i="60"/>
  <c r="M41" i="60" s="1"/>
  <c r="U40" i="60"/>
  <c r="U39" i="60"/>
  <c r="L39" i="60"/>
  <c r="M39" i="60" s="1"/>
  <c r="U38" i="60"/>
  <c r="L38" i="60"/>
  <c r="M38" i="60" s="1"/>
  <c r="U37" i="60"/>
  <c r="L37" i="60"/>
  <c r="M37" i="60" s="1"/>
  <c r="U36" i="60"/>
  <c r="L36" i="60"/>
  <c r="M36" i="60" s="1"/>
  <c r="Q36" i="60" s="1"/>
  <c r="S36" i="60" s="1"/>
  <c r="U35" i="60"/>
  <c r="L35" i="60"/>
  <c r="M35" i="60" s="1"/>
  <c r="U34" i="60"/>
  <c r="U33" i="60"/>
  <c r="L33" i="60"/>
  <c r="M33" i="60" s="1"/>
  <c r="U32" i="60"/>
  <c r="L32" i="60"/>
  <c r="M32" i="60" s="1"/>
  <c r="Q32" i="60" s="1"/>
  <c r="S32" i="60" s="1"/>
  <c r="U31" i="60"/>
  <c r="L31" i="60"/>
  <c r="M31" i="60" s="1"/>
  <c r="U30" i="60"/>
  <c r="L30" i="60"/>
  <c r="M30" i="60" s="1"/>
  <c r="T30" i="60" s="1"/>
  <c r="U29" i="60"/>
  <c r="L29" i="60"/>
  <c r="M29" i="60" s="1"/>
  <c r="U28" i="60"/>
  <c r="L28" i="60"/>
  <c r="M28" i="60" s="1"/>
  <c r="U27" i="60"/>
  <c r="L27" i="60"/>
  <c r="M27" i="60" s="1"/>
  <c r="U26" i="60"/>
  <c r="L26" i="60"/>
  <c r="M26" i="60" s="1"/>
  <c r="U25" i="60"/>
  <c r="L25" i="60"/>
  <c r="M25" i="60" s="1"/>
  <c r="U24" i="60"/>
  <c r="L24" i="60"/>
  <c r="M24" i="60" s="1"/>
  <c r="U23" i="60"/>
  <c r="L23" i="60"/>
  <c r="U22" i="60"/>
  <c r="P22" i="60"/>
  <c r="L22" i="60"/>
  <c r="M22" i="60" s="1"/>
  <c r="I21" i="60"/>
  <c r="H21" i="60"/>
  <c r="G21" i="60"/>
  <c r="B13" i="60"/>
  <c r="N2" i="60"/>
  <c r="K68" i="29"/>
  <c r="K67" i="29"/>
  <c r="K66" i="29"/>
  <c r="K65" i="29"/>
  <c r="K60" i="29"/>
  <c r="F57" i="29"/>
  <c r="K56" i="29"/>
  <c r="H56" i="29"/>
  <c r="K55" i="29"/>
  <c r="H55" i="29"/>
  <c r="K54" i="29"/>
  <c r="H54" i="29"/>
  <c r="K53" i="29"/>
  <c r="H53" i="29"/>
  <c r="K52" i="29"/>
  <c r="H52" i="29"/>
  <c r="K51" i="29"/>
  <c r="H51" i="29"/>
  <c r="K50" i="29"/>
  <c r="H50" i="29"/>
  <c r="K48" i="29"/>
  <c r="H48" i="29"/>
  <c r="K47" i="29"/>
  <c r="H47" i="29"/>
  <c r="K46" i="29"/>
  <c r="H46" i="29"/>
  <c r="F42" i="29"/>
  <c r="K41" i="29"/>
  <c r="H41" i="29"/>
  <c r="K40" i="29"/>
  <c r="H40" i="29"/>
  <c r="K39" i="29"/>
  <c r="H39" i="29"/>
  <c r="K38" i="29"/>
  <c r="H38" i="29"/>
  <c r="K33" i="29"/>
  <c r="H33" i="29"/>
  <c r="K32" i="29"/>
  <c r="H32" i="29"/>
  <c r="H28" i="29"/>
  <c r="K27" i="29"/>
  <c r="H27" i="29"/>
  <c r="K25" i="29"/>
  <c r="K13" i="29"/>
  <c r="H13" i="29"/>
  <c r="K12" i="29"/>
  <c r="H12" i="29"/>
  <c r="K11" i="29"/>
  <c r="H11" i="29"/>
  <c r="K10" i="29"/>
  <c r="H10" i="29"/>
  <c r="K9" i="29"/>
  <c r="H9" i="29"/>
  <c r="C2" i="29"/>
  <c r="E1" i="29"/>
  <c r="K68" i="38"/>
  <c r="K67" i="38"/>
  <c r="K66" i="38"/>
  <c r="K65" i="38"/>
  <c r="K60" i="38"/>
  <c r="F57" i="38"/>
  <c r="K56" i="38"/>
  <c r="H56" i="38"/>
  <c r="K55" i="38"/>
  <c r="H55" i="38"/>
  <c r="K54" i="38"/>
  <c r="H54" i="38"/>
  <c r="K53" i="38"/>
  <c r="H53" i="38"/>
  <c r="K52" i="38"/>
  <c r="H52" i="38"/>
  <c r="K51" i="38"/>
  <c r="H51" i="38"/>
  <c r="K50" i="38"/>
  <c r="H50" i="38"/>
  <c r="K48" i="38"/>
  <c r="H48" i="38"/>
  <c r="K47" i="38"/>
  <c r="H47" i="38"/>
  <c r="K46" i="38"/>
  <c r="H46" i="38"/>
  <c r="F42" i="38"/>
  <c r="K41" i="38"/>
  <c r="H41" i="38"/>
  <c r="K40" i="38"/>
  <c r="H40" i="38"/>
  <c r="K39" i="38"/>
  <c r="H39" i="38"/>
  <c r="K38" i="38"/>
  <c r="H38" i="38"/>
  <c r="K33" i="38"/>
  <c r="H33" i="38"/>
  <c r="K32" i="38"/>
  <c r="H32" i="38"/>
  <c r="H28" i="38"/>
  <c r="K27" i="38"/>
  <c r="H27" i="38"/>
  <c r="K25" i="38"/>
  <c r="F14" i="38"/>
  <c r="D26" i="38" s="1"/>
  <c r="F26" i="38" s="1"/>
  <c r="H26" i="38" s="1"/>
  <c r="K13" i="38"/>
  <c r="H13" i="38"/>
  <c r="K12" i="38"/>
  <c r="H12" i="38"/>
  <c r="K11" i="38"/>
  <c r="H11" i="38"/>
  <c r="K10" i="38"/>
  <c r="H10" i="38"/>
  <c r="K9" i="38"/>
  <c r="H9" i="38"/>
  <c r="C2" i="38"/>
  <c r="E1" i="38"/>
  <c r="B3" i="3"/>
  <c r="C2" i="3"/>
  <c r="I2" i="1"/>
  <c r="N6" i="48" l="1"/>
  <c r="T124" i="62"/>
  <c r="T32" i="60"/>
  <c r="T42" i="62"/>
  <c r="Q42" i="62"/>
  <c r="S42" i="62" s="1"/>
  <c r="T40" i="62"/>
  <c r="Q40" i="62"/>
  <c r="S40" i="62" s="1"/>
  <c r="H14" i="38"/>
  <c r="K14" i="38" s="1"/>
  <c r="H14" i="29"/>
  <c r="K14" i="29" s="1"/>
  <c r="H57" i="29"/>
  <c r="K57" i="29" s="1"/>
  <c r="L34" i="60"/>
  <c r="M34" i="60" s="1"/>
  <c r="P24" i="62"/>
  <c r="R24" i="62" s="1"/>
  <c r="P28" i="62"/>
  <c r="R28" i="62" s="1"/>
  <c r="P29" i="62"/>
  <c r="R29" i="62" s="1"/>
  <c r="P37" i="62"/>
  <c r="R37" i="62" s="1"/>
  <c r="P45" i="62"/>
  <c r="R45" i="62" s="1"/>
  <c r="P56" i="62"/>
  <c r="R56" i="62" s="1"/>
  <c r="L64" i="62"/>
  <c r="M64" i="62" s="1"/>
  <c r="L69" i="62"/>
  <c r="M69" i="62" s="1"/>
  <c r="P81" i="62"/>
  <c r="R81" i="62" s="1"/>
  <c r="P85" i="62"/>
  <c r="R85" i="62" s="1"/>
  <c r="P89" i="62"/>
  <c r="R89" i="62" s="1"/>
  <c r="P93" i="62"/>
  <c r="R93" i="62" s="1"/>
  <c r="P97" i="62"/>
  <c r="R97" i="62" s="1"/>
  <c r="P103" i="62"/>
  <c r="R103" i="62" s="1"/>
  <c r="P107" i="62"/>
  <c r="R107" i="62" s="1"/>
  <c r="P121" i="62"/>
  <c r="R121" i="62" s="1"/>
  <c r="P122" i="62"/>
  <c r="R122" i="62" s="1"/>
  <c r="P127" i="62"/>
  <c r="R127" i="62" s="1"/>
  <c r="P131" i="62"/>
  <c r="R131" i="62" s="1"/>
  <c r="P135" i="62"/>
  <c r="R135" i="62" s="1"/>
  <c r="P136" i="62"/>
  <c r="R136" i="62" s="1"/>
  <c r="P146" i="62"/>
  <c r="R146" i="62" s="1"/>
  <c r="P149" i="62"/>
  <c r="R149" i="62" s="1"/>
  <c r="P25" i="64"/>
  <c r="R25" i="64" s="1"/>
  <c r="L40" i="64"/>
  <c r="M40" i="64" s="1"/>
  <c r="P59" i="64"/>
  <c r="R59" i="64" s="1"/>
  <c r="L61" i="64"/>
  <c r="M61" i="64" s="1"/>
  <c r="P36" i="71"/>
  <c r="P24" i="60"/>
  <c r="R24" i="60" s="1"/>
  <c r="P30" i="60"/>
  <c r="R30" i="60" s="1"/>
  <c r="P27" i="60"/>
  <c r="R27" i="60" s="1"/>
  <c r="T36" i="60"/>
  <c r="P41" i="60"/>
  <c r="R41" i="60" s="1"/>
  <c r="P27" i="62"/>
  <c r="R27" i="62" s="1"/>
  <c r="P42" i="62"/>
  <c r="R42" i="62" s="1"/>
  <c r="P60" i="62"/>
  <c r="R60" i="62" s="1"/>
  <c r="P65" i="62"/>
  <c r="R65" i="62" s="1"/>
  <c r="P78" i="62"/>
  <c r="R78" i="62" s="1"/>
  <c r="P142" i="62"/>
  <c r="R142" i="62" s="1"/>
  <c r="L46" i="64"/>
  <c r="M46" i="64" s="1"/>
  <c r="H42" i="38"/>
  <c r="K42" i="38" s="1"/>
  <c r="P35" i="62"/>
  <c r="R35" i="62" s="1"/>
  <c r="L108" i="62"/>
  <c r="M108" i="62" s="1"/>
  <c r="L28" i="64"/>
  <c r="M28" i="64" s="1"/>
  <c r="L52" i="64"/>
  <c r="M52" i="64" s="1"/>
  <c r="P25" i="65"/>
  <c r="R25" i="65" s="1"/>
  <c r="T38" i="60"/>
  <c r="Q38" i="60"/>
  <c r="S38" i="60" s="1"/>
  <c r="M23" i="60"/>
  <c r="J6" i="60" s="1"/>
  <c r="L21" i="60"/>
  <c r="T39" i="60"/>
  <c r="Q39" i="60"/>
  <c r="S39" i="60" s="1"/>
  <c r="M22" i="67"/>
  <c r="L21" i="67"/>
  <c r="L22" i="62"/>
  <c r="M22" i="62" s="1"/>
  <c r="P22" i="62" s="1"/>
  <c r="P150" i="62"/>
  <c r="R150" i="62" s="1"/>
  <c r="Q25" i="64"/>
  <c r="S25" i="64" s="1"/>
  <c r="P23" i="65"/>
  <c r="R23" i="65" s="1"/>
  <c r="L21" i="71"/>
  <c r="L62" i="64"/>
  <c r="M62" i="64" s="1"/>
  <c r="L56" i="64"/>
  <c r="M56" i="64" s="1"/>
  <c r="L53" i="64"/>
  <c r="M53" i="64" s="1"/>
  <c r="L50" i="64"/>
  <c r="M50" i="64" s="1"/>
  <c r="L47" i="64"/>
  <c r="M47" i="64" s="1"/>
  <c r="P47" i="64" s="1"/>
  <c r="R47" i="64" s="1"/>
  <c r="L44" i="64"/>
  <c r="M44" i="64" s="1"/>
  <c r="L41" i="64"/>
  <c r="M41" i="64" s="1"/>
  <c r="L38" i="64"/>
  <c r="M38" i="64" s="1"/>
  <c r="L35" i="64"/>
  <c r="M35" i="64" s="1"/>
  <c r="L32" i="64"/>
  <c r="M32" i="64" s="1"/>
  <c r="L29" i="64"/>
  <c r="M29" i="64" s="1"/>
  <c r="L26" i="64"/>
  <c r="M26" i="64" s="1"/>
  <c r="L22" i="64"/>
  <c r="L60" i="64"/>
  <c r="M60" i="64" s="1"/>
  <c r="L54" i="64"/>
  <c r="M54" i="64" s="1"/>
  <c r="L51" i="64"/>
  <c r="M51" i="64" s="1"/>
  <c r="L48" i="64"/>
  <c r="M48" i="64" s="1"/>
  <c r="P48" i="64" s="1"/>
  <c r="R48" i="64" s="1"/>
  <c r="L45" i="64"/>
  <c r="M45" i="64" s="1"/>
  <c r="L42" i="64"/>
  <c r="M42" i="64" s="1"/>
  <c r="L39" i="64"/>
  <c r="M39" i="64" s="1"/>
  <c r="L36" i="64"/>
  <c r="M36" i="64" s="1"/>
  <c r="L33" i="64"/>
  <c r="M33" i="64" s="1"/>
  <c r="L30" i="64"/>
  <c r="M30" i="64" s="1"/>
  <c r="L27" i="64"/>
  <c r="M27" i="64" s="1"/>
  <c r="L23" i="64"/>
  <c r="M23" i="64" s="1"/>
  <c r="J4" i="60"/>
  <c r="Q30" i="60"/>
  <c r="S30" i="60" s="1"/>
  <c r="P26" i="62"/>
  <c r="R26" i="62" s="1"/>
  <c r="P31" i="62"/>
  <c r="R31" i="62" s="1"/>
  <c r="P41" i="62"/>
  <c r="R41" i="62" s="1"/>
  <c r="P44" i="62"/>
  <c r="R44" i="62" s="1"/>
  <c r="P49" i="62"/>
  <c r="R49" i="62" s="1"/>
  <c r="P51" i="62"/>
  <c r="R51" i="62" s="1"/>
  <c r="P62" i="62"/>
  <c r="R62" i="62" s="1"/>
  <c r="P69" i="62"/>
  <c r="R69" i="62" s="1"/>
  <c r="P71" i="62"/>
  <c r="R71" i="62" s="1"/>
  <c r="P73" i="62"/>
  <c r="R73" i="62" s="1"/>
  <c r="P75" i="62"/>
  <c r="R75" i="62" s="1"/>
  <c r="P100" i="62"/>
  <c r="R100" i="62" s="1"/>
  <c r="P102" i="62"/>
  <c r="R102" i="62" s="1"/>
  <c r="P104" i="62"/>
  <c r="R104" i="62" s="1"/>
  <c r="P106" i="62"/>
  <c r="R106" i="62" s="1"/>
  <c r="P108" i="62"/>
  <c r="R108" i="62" s="1"/>
  <c r="P110" i="62"/>
  <c r="R110" i="62" s="1"/>
  <c r="P116" i="62"/>
  <c r="R116" i="62" s="1"/>
  <c r="P126" i="62"/>
  <c r="R126" i="62" s="1"/>
  <c r="P141" i="62"/>
  <c r="R141" i="62" s="1"/>
  <c r="L143" i="62"/>
  <c r="M143" i="62" s="1"/>
  <c r="P143" i="62" s="1"/>
  <c r="R143" i="62" s="1"/>
  <c r="L147" i="62"/>
  <c r="M147" i="62" s="1"/>
  <c r="P147" i="62" s="1"/>
  <c r="R147" i="62" s="1"/>
  <c r="P32" i="64"/>
  <c r="R32" i="64" s="1"/>
  <c r="P44" i="64"/>
  <c r="R44" i="64" s="1"/>
  <c r="P56" i="64"/>
  <c r="R56" i="64" s="1"/>
  <c r="L58" i="64"/>
  <c r="M58" i="64" s="1"/>
  <c r="P58" i="64" s="1"/>
  <c r="R58" i="64" s="1"/>
  <c r="L21" i="65"/>
  <c r="M22" i="65"/>
  <c r="I4" i="65" s="1"/>
  <c r="L21" i="74"/>
  <c r="F24" i="29"/>
  <c r="H42" i="29"/>
  <c r="K42" i="29" s="1"/>
  <c r="P26" i="60"/>
  <c r="R26" i="60" s="1"/>
  <c r="P38" i="60"/>
  <c r="R38" i="60" s="1"/>
  <c r="P39" i="60"/>
  <c r="R39" i="60" s="1"/>
  <c r="L25" i="62"/>
  <c r="M25" i="62" s="1"/>
  <c r="P33" i="62"/>
  <c r="R33" i="62" s="1"/>
  <c r="P46" i="62"/>
  <c r="R46" i="62" s="1"/>
  <c r="P64" i="62"/>
  <c r="R64" i="62" s="1"/>
  <c r="P112" i="62"/>
  <c r="R112" i="62" s="1"/>
  <c r="P118" i="62"/>
  <c r="R118" i="62" s="1"/>
  <c r="M22" i="69"/>
  <c r="I11" i="69" s="1"/>
  <c r="L21" i="69"/>
  <c r="L21" i="72"/>
  <c r="M22" i="72"/>
  <c r="I6" i="72" s="1"/>
  <c r="J5" i="60"/>
  <c r="P23" i="62"/>
  <c r="R23" i="62" s="1"/>
  <c r="P40" i="62"/>
  <c r="R40" i="62" s="1"/>
  <c r="P43" i="62"/>
  <c r="R43" i="62" s="1"/>
  <c r="P48" i="62"/>
  <c r="R48" i="62" s="1"/>
  <c r="P61" i="62"/>
  <c r="R61" i="62" s="1"/>
  <c r="M63" i="62"/>
  <c r="P63" i="62" s="1"/>
  <c r="R63" i="62" s="1"/>
  <c r="P66" i="62"/>
  <c r="R66" i="62" s="1"/>
  <c r="L70" i="62"/>
  <c r="M70" i="62" s="1"/>
  <c r="P79" i="62"/>
  <c r="R79" i="62" s="1"/>
  <c r="P94" i="62"/>
  <c r="R94" i="62" s="1"/>
  <c r="L111" i="62"/>
  <c r="M111" i="62" s="1"/>
  <c r="P120" i="62"/>
  <c r="R120" i="62" s="1"/>
  <c r="P138" i="62"/>
  <c r="R138" i="62" s="1"/>
  <c r="L31" i="64"/>
  <c r="M31" i="64" s="1"/>
  <c r="L37" i="64"/>
  <c r="M37" i="64" s="1"/>
  <c r="L43" i="64"/>
  <c r="M43" i="64" s="1"/>
  <c r="M49" i="64"/>
  <c r="L55" i="64"/>
  <c r="M55" i="64" s="1"/>
  <c r="W26" i="72"/>
  <c r="X26" i="72" s="1"/>
  <c r="V26" i="72"/>
  <c r="H5" i="48"/>
  <c r="K5" i="48" s="1"/>
  <c r="N5" i="48" s="1"/>
  <c r="F22" i="38"/>
  <c r="H22" i="38" s="1"/>
  <c r="F26" i="29"/>
  <c r="P28" i="60"/>
  <c r="R28" i="60" s="1"/>
  <c r="P32" i="60"/>
  <c r="R32" i="60" s="1"/>
  <c r="P36" i="60"/>
  <c r="R36" i="60" s="1"/>
  <c r="P37" i="60"/>
  <c r="R37" i="60" s="1"/>
  <c r="P42" i="60"/>
  <c r="R42" i="60" s="1"/>
  <c r="P25" i="62"/>
  <c r="R25" i="62" s="1"/>
  <c r="P30" i="62"/>
  <c r="R30" i="62" s="1"/>
  <c r="P68" i="62"/>
  <c r="R68" i="62" s="1"/>
  <c r="P70" i="62"/>
  <c r="R70" i="62" s="1"/>
  <c r="P96" i="62"/>
  <c r="R96" i="62" s="1"/>
  <c r="P99" i="62"/>
  <c r="R99" i="62" s="1"/>
  <c r="P111" i="62"/>
  <c r="R111" i="62" s="1"/>
  <c r="P35" i="64"/>
  <c r="R35" i="64" s="1"/>
  <c r="P119" i="62"/>
  <c r="R119" i="62" s="1"/>
  <c r="P125" i="62"/>
  <c r="R125" i="62" s="1"/>
  <c r="P152" i="62"/>
  <c r="R152" i="62" s="1"/>
  <c r="P25" i="69"/>
  <c r="P37" i="69"/>
  <c r="P51" i="69"/>
  <c r="P55" i="69"/>
  <c r="P57" i="69"/>
  <c r="P67" i="69"/>
  <c r="P71" i="69"/>
  <c r="P83" i="69"/>
  <c r="P95" i="69"/>
  <c r="P113" i="69"/>
  <c r="P117" i="69"/>
  <c r="P129" i="69"/>
  <c r="P28" i="64"/>
  <c r="R28" i="64" s="1"/>
  <c r="P31" i="64"/>
  <c r="R31" i="64" s="1"/>
  <c r="P40" i="64"/>
  <c r="R40" i="64" s="1"/>
  <c r="P43" i="64"/>
  <c r="R43" i="64" s="1"/>
  <c r="P52" i="64"/>
  <c r="R52" i="64" s="1"/>
  <c r="P55" i="64"/>
  <c r="R55" i="64" s="1"/>
  <c r="P64" i="64"/>
  <c r="R64" i="64" s="1"/>
  <c r="P67" i="64"/>
  <c r="R67" i="64" s="1"/>
  <c r="P62" i="71"/>
  <c r="P68" i="71"/>
  <c r="P27" i="65"/>
  <c r="R27" i="65" s="1"/>
  <c r="W25" i="72"/>
  <c r="P27" i="64"/>
  <c r="R27" i="64" s="1"/>
  <c r="P36" i="64"/>
  <c r="R36" i="64" s="1"/>
  <c r="P39" i="64"/>
  <c r="R39" i="64" s="1"/>
  <c r="P51" i="64"/>
  <c r="R51" i="64" s="1"/>
  <c r="P60" i="64"/>
  <c r="R60" i="64" s="1"/>
  <c r="P63" i="64"/>
  <c r="R63" i="64" s="1"/>
  <c r="P49" i="71"/>
  <c r="P53" i="71"/>
  <c r="P123" i="62"/>
  <c r="R123" i="62" s="1"/>
  <c r="P137" i="62"/>
  <c r="R137" i="62" s="1"/>
  <c r="P34" i="69"/>
  <c r="P64" i="69"/>
  <c r="P68" i="69"/>
  <c r="P70" i="69"/>
  <c r="P86" i="69"/>
  <c r="P98" i="69"/>
  <c r="P110" i="69"/>
  <c r="P116" i="69"/>
  <c r="P126" i="69"/>
  <c r="P132" i="69"/>
  <c r="P144" i="69"/>
  <c r="P148" i="69"/>
  <c r="P65" i="71"/>
  <c r="P68" i="64"/>
  <c r="R68" i="64" s="1"/>
  <c r="H3" i="26"/>
  <c r="I20" i="1"/>
  <c r="P22" i="65"/>
  <c r="P26" i="65"/>
  <c r="R26" i="65" s="1"/>
  <c r="P24" i="64"/>
  <c r="R24" i="64" s="1"/>
  <c r="P26" i="64"/>
  <c r="R26" i="64" s="1"/>
  <c r="P30" i="64"/>
  <c r="R30" i="64" s="1"/>
  <c r="P34" i="64"/>
  <c r="R34" i="64" s="1"/>
  <c r="P38" i="64"/>
  <c r="R38" i="64" s="1"/>
  <c r="P42" i="64"/>
  <c r="R42" i="64" s="1"/>
  <c r="P46" i="64"/>
  <c r="R46" i="64" s="1"/>
  <c r="P50" i="64"/>
  <c r="R50" i="64" s="1"/>
  <c r="P54" i="64"/>
  <c r="R54" i="64" s="1"/>
  <c r="P62" i="64"/>
  <c r="R62" i="64" s="1"/>
  <c r="P66" i="64"/>
  <c r="R66" i="64" s="1"/>
  <c r="P70" i="64"/>
  <c r="R70" i="64" s="1"/>
  <c r="P23" i="64"/>
  <c r="R23" i="64" s="1"/>
  <c r="P29" i="64"/>
  <c r="R29" i="64" s="1"/>
  <c r="P33" i="64"/>
  <c r="R33" i="64" s="1"/>
  <c r="P37" i="64"/>
  <c r="R37" i="64" s="1"/>
  <c r="P41" i="64"/>
  <c r="R41" i="64" s="1"/>
  <c r="P45" i="64"/>
  <c r="R45" i="64" s="1"/>
  <c r="P49" i="64"/>
  <c r="R49" i="64" s="1"/>
  <c r="P53" i="64"/>
  <c r="R53" i="64" s="1"/>
  <c r="P57" i="64"/>
  <c r="R57" i="64" s="1"/>
  <c r="P61" i="64"/>
  <c r="R61" i="64" s="1"/>
  <c r="P65" i="64"/>
  <c r="R65" i="64" s="1"/>
  <c r="P69" i="64"/>
  <c r="R69" i="64" s="1"/>
  <c r="P80" i="62"/>
  <c r="R80" i="62" s="1"/>
  <c r="P52" i="62"/>
  <c r="R52" i="62" s="1"/>
  <c r="P98" i="62"/>
  <c r="R98" i="62" s="1"/>
  <c r="P35" i="60"/>
  <c r="R35" i="60" s="1"/>
  <c r="P23" i="60"/>
  <c r="R23" i="60" s="1"/>
  <c r="R22" i="60"/>
  <c r="P25" i="60"/>
  <c r="R25" i="60" s="1"/>
  <c r="P29" i="60"/>
  <c r="R29" i="60" s="1"/>
  <c r="P31" i="60"/>
  <c r="R31" i="60" s="1"/>
  <c r="P33" i="60"/>
  <c r="R33" i="60" s="1"/>
  <c r="P34" i="60"/>
  <c r="R34" i="60" s="1"/>
  <c r="P40" i="60"/>
  <c r="R40" i="60" s="1"/>
  <c r="F22" i="29"/>
  <c r="H22" i="29" s="1"/>
  <c r="H57" i="38"/>
  <c r="K57" i="38" s="1"/>
  <c r="T85" i="62"/>
  <c r="Q85" i="62"/>
  <c r="S85" i="62" s="1"/>
  <c r="T104" i="62"/>
  <c r="Q104" i="62"/>
  <c r="S104" i="62" s="1"/>
  <c r="M34" i="62"/>
  <c r="J12" i="62" s="1"/>
  <c r="F24" i="38"/>
  <c r="H24" i="38" s="1"/>
  <c r="M22" i="74"/>
  <c r="J4" i="74" s="1"/>
  <c r="J5" i="74"/>
  <c r="V23" i="74"/>
  <c r="W23" i="74" s="1"/>
  <c r="X23" i="74" s="1"/>
  <c r="W29" i="71"/>
  <c r="X29" i="71" s="1"/>
  <c r="V30" i="71"/>
  <c r="W30" i="71" s="1"/>
  <c r="M22" i="71"/>
  <c r="I4" i="71" s="1"/>
  <c r="V38" i="71"/>
  <c r="W38" i="71" s="1"/>
  <c r="V129" i="69"/>
  <c r="W129" i="69" s="1"/>
  <c r="J7" i="69"/>
  <c r="I8" i="69"/>
  <c r="I9" i="69"/>
  <c r="V35" i="69"/>
  <c r="W35" i="69" s="1"/>
  <c r="X35" i="69" s="1"/>
  <c r="V46" i="69"/>
  <c r="W46" i="69" s="1"/>
  <c r="V62" i="69"/>
  <c r="W62" i="69" s="1"/>
  <c r="V78" i="69"/>
  <c r="W78" i="69" s="1"/>
  <c r="X78" i="69" s="1"/>
  <c r="W68" i="69"/>
  <c r="W107" i="69"/>
  <c r="X107" i="69" s="1"/>
  <c r="J9" i="69"/>
  <c r="V32" i="69"/>
  <c r="W32" i="69" s="1"/>
  <c r="V43" i="69"/>
  <c r="W43" i="69" s="1"/>
  <c r="V59" i="69"/>
  <c r="W59" i="69" s="1"/>
  <c r="X59" i="69" s="1"/>
  <c r="V75" i="69"/>
  <c r="W75" i="69" s="1"/>
  <c r="V111" i="69"/>
  <c r="W111" i="69" s="1"/>
  <c r="V114" i="69"/>
  <c r="W114" i="69" s="1"/>
  <c r="X114" i="69" s="1"/>
  <c r="V127" i="69"/>
  <c r="W127" i="69" s="1"/>
  <c r="V130" i="69"/>
  <c r="W130" i="69" s="1"/>
  <c r="W28" i="69"/>
  <c r="X28" i="69" s="1"/>
  <c r="I10" i="69"/>
  <c r="J10" i="69"/>
  <c r="V26" i="69"/>
  <c r="W26" i="69" s="1"/>
  <c r="X26" i="69" s="1"/>
  <c r="V53" i="69"/>
  <c r="W53" i="69" s="1"/>
  <c r="V69" i="69"/>
  <c r="W69" i="69" s="1"/>
  <c r="V72" i="69"/>
  <c r="W72" i="69" s="1"/>
  <c r="V105" i="69"/>
  <c r="W105" i="69" s="1"/>
  <c r="V121" i="69"/>
  <c r="W121" i="69" s="1"/>
  <c r="W71" i="69"/>
  <c r="X71" i="69" s="1"/>
  <c r="V102" i="69"/>
  <c r="W102" i="69" s="1"/>
  <c r="V118" i="69"/>
  <c r="W118" i="69" s="1"/>
  <c r="W120" i="69"/>
  <c r="X120" i="69" s="1"/>
  <c r="J4" i="69"/>
  <c r="I5" i="69"/>
  <c r="V33" i="69"/>
  <c r="W33" i="69" s="1"/>
  <c r="V36" i="69"/>
  <c r="W36" i="69" s="1"/>
  <c r="X36" i="69" s="1"/>
  <c r="V44" i="69"/>
  <c r="W44" i="69" s="1"/>
  <c r="X44" i="69" s="1"/>
  <c r="V47" i="69"/>
  <c r="W47" i="69" s="1"/>
  <c r="V60" i="69"/>
  <c r="W60" i="69" s="1"/>
  <c r="V63" i="69"/>
  <c r="W63" i="69" s="1"/>
  <c r="X63" i="69" s="1"/>
  <c r="V76" i="69"/>
  <c r="W76" i="69" s="1"/>
  <c r="X76" i="69" s="1"/>
  <c r="V79" i="69"/>
  <c r="W79" i="69" s="1"/>
  <c r="V112" i="69"/>
  <c r="W112" i="69" s="1"/>
  <c r="X112" i="69" s="1"/>
  <c r="V115" i="69"/>
  <c r="W115" i="69" s="1"/>
  <c r="W123" i="69"/>
  <c r="J8" i="69"/>
  <c r="I6" i="69"/>
  <c r="V27" i="69"/>
  <c r="W27" i="69" s="1"/>
  <c r="X27" i="69" s="1"/>
  <c r="V54" i="69"/>
  <c r="W54" i="69" s="1"/>
  <c r="V70" i="69"/>
  <c r="W70" i="69" s="1"/>
  <c r="J6" i="69"/>
  <c r="V24" i="69"/>
  <c r="W24" i="69" s="1"/>
  <c r="V40" i="69"/>
  <c r="W40" i="69" s="1"/>
  <c r="V51" i="69"/>
  <c r="W51" i="69" s="1"/>
  <c r="X51" i="69" s="1"/>
  <c r="V67" i="69"/>
  <c r="W67" i="69" s="1"/>
  <c r="V83" i="69"/>
  <c r="W83" i="69" s="1"/>
  <c r="V103" i="69"/>
  <c r="W103" i="69" s="1"/>
  <c r="V106" i="69"/>
  <c r="W106" i="69" s="1"/>
  <c r="V119" i="69"/>
  <c r="W119" i="69" s="1"/>
  <c r="X119" i="69" s="1"/>
  <c r="V122" i="69"/>
  <c r="W122" i="69" s="1"/>
  <c r="X122" i="69" s="1"/>
  <c r="W52" i="69"/>
  <c r="W104" i="69"/>
  <c r="I7" i="69"/>
  <c r="M21" i="69"/>
  <c r="W77" i="69"/>
  <c r="X77" i="69" s="1"/>
  <c r="W55" i="69"/>
  <c r="X55" i="69" s="1"/>
  <c r="V34" i="69"/>
  <c r="W34" i="69" s="1"/>
  <c r="X34" i="69" s="1"/>
  <c r="V45" i="69"/>
  <c r="W45" i="69" s="1"/>
  <c r="X45" i="69" s="1"/>
  <c r="V61" i="69"/>
  <c r="W61" i="69" s="1"/>
  <c r="W110" i="69"/>
  <c r="M23" i="67"/>
  <c r="I7" i="67" s="1"/>
  <c r="I4" i="67"/>
  <c r="W35" i="67"/>
  <c r="V24" i="74"/>
  <c r="W24" i="74" s="1"/>
  <c r="X24" i="74" s="1"/>
  <c r="V22" i="74"/>
  <c r="W22" i="74" s="1"/>
  <c r="X22" i="74" s="1"/>
  <c r="P23" i="74"/>
  <c r="P24" i="74"/>
  <c r="X22" i="72"/>
  <c r="X25" i="72"/>
  <c r="V24" i="72"/>
  <c r="W24" i="72" s="1"/>
  <c r="X24" i="72" s="1"/>
  <c r="X27" i="72"/>
  <c r="P22" i="72"/>
  <c r="P27" i="72"/>
  <c r="P25" i="72"/>
  <c r="X23" i="72"/>
  <c r="P24" i="72"/>
  <c r="P23" i="72"/>
  <c r="P26" i="72"/>
  <c r="W23" i="71"/>
  <c r="X23" i="71" s="1"/>
  <c r="X48" i="71"/>
  <c r="X56" i="71"/>
  <c r="X64" i="71"/>
  <c r="X27" i="71"/>
  <c r="V32" i="71"/>
  <c r="W32" i="71" s="1"/>
  <c r="X32" i="71" s="1"/>
  <c r="X35" i="71"/>
  <c r="V40" i="71"/>
  <c r="W40" i="71" s="1"/>
  <c r="X40" i="71" s="1"/>
  <c r="X30" i="71"/>
  <c r="X38" i="71"/>
  <c r="V23" i="71"/>
  <c r="V43" i="71"/>
  <c r="W43" i="71" s="1"/>
  <c r="X43" i="71" s="1"/>
  <c r="V51" i="71"/>
  <c r="W51" i="71" s="1"/>
  <c r="X51" i="71" s="1"/>
  <c r="V59" i="71"/>
  <c r="W59" i="71" s="1"/>
  <c r="X59" i="71" s="1"/>
  <c r="V67" i="71"/>
  <c r="W67" i="71" s="1"/>
  <c r="X67" i="71" s="1"/>
  <c r="X41" i="71"/>
  <c r="V46" i="71"/>
  <c r="W46" i="71" s="1"/>
  <c r="X46" i="71" s="1"/>
  <c r="V54" i="71"/>
  <c r="W54" i="71" s="1"/>
  <c r="X54" i="71" s="1"/>
  <c r="X57" i="71"/>
  <c r="V62" i="71"/>
  <c r="W62" i="71" s="1"/>
  <c r="X62" i="71" s="1"/>
  <c r="V25" i="71"/>
  <c r="W25" i="71" s="1"/>
  <c r="X25" i="71" s="1"/>
  <c r="X28" i="71"/>
  <c r="V33" i="71"/>
  <c r="W33" i="71" s="1"/>
  <c r="X33" i="71" s="1"/>
  <c r="X44" i="71"/>
  <c r="X60" i="71"/>
  <c r="X31" i="71"/>
  <c r="X39" i="71"/>
  <c r="V47" i="71"/>
  <c r="W47" i="71" s="1"/>
  <c r="X47" i="71" s="1"/>
  <c r="V55" i="71"/>
  <c r="W55" i="71" s="1"/>
  <c r="X55" i="71" s="1"/>
  <c r="V63" i="71"/>
  <c r="W63" i="71" s="1"/>
  <c r="X63" i="71" s="1"/>
  <c r="X66" i="71"/>
  <c r="V26" i="71"/>
  <c r="W26" i="71" s="1"/>
  <c r="X26" i="71" s="1"/>
  <c r="V34" i="71"/>
  <c r="W34" i="71" s="1"/>
  <c r="X34" i="71" s="1"/>
  <c r="X37" i="71"/>
  <c r="V22" i="71"/>
  <c r="W22" i="71" s="1"/>
  <c r="X22" i="71" s="1"/>
  <c r="V42" i="71"/>
  <c r="W42" i="71" s="1"/>
  <c r="X42" i="71" s="1"/>
  <c r="X45" i="71"/>
  <c r="V50" i="71"/>
  <c r="W50" i="71" s="1"/>
  <c r="X50" i="71" s="1"/>
  <c r="V58" i="71"/>
  <c r="W58" i="71" s="1"/>
  <c r="X58" i="71" s="1"/>
  <c r="X61" i="71"/>
  <c r="V66" i="71"/>
  <c r="W66" i="71" s="1"/>
  <c r="X36" i="71"/>
  <c r="P55" i="71"/>
  <c r="P38" i="71"/>
  <c r="X24" i="71"/>
  <c r="P35" i="71"/>
  <c r="P58" i="71"/>
  <c r="P63" i="71"/>
  <c r="P56" i="71"/>
  <c r="P46" i="71"/>
  <c r="P26" i="71"/>
  <c r="X53" i="71"/>
  <c r="P30" i="71"/>
  <c r="P47" i="71"/>
  <c r="X52" i="71"/>
  <c r="P23" i="71"/>
  <c r="P51" i="71"/>
  <c r="P37" i="71"/>
  <c r="X65" i="71"/>
  <c r="P39" i="71"/>
  <c r="P31" i="71"/>
  <c r="X49" i="71"/>
  <c r="P57" i="71"/>
  <c r="X68" i="71"/>
  <c r="P24" i="71"/>
  <c r="P41" i="71"/>
  <c r="P54" i="71"/>
  <c r="P25" i="71"/>
  <c r="P29" i="71"/>
  <c r="P45" i="71"/>
  <c r="P61" i="71"/>
  <c r="P32" i="71"/>
  <c r="P48" i="71"/>
  <c r="P64" i="71"/>
  <c r="P67" i="71"/>
  <c r="P28" i="71"/>
  <c r="P44" i="71"/>
  <c r="P60" i="71"/>
  <c r="P34" i="71"/>
  <c r="P50" i="71"/>
  <c r="P66" i="71"/>
  <c r="P27" i="71"/>
  <c r="P43" i="71"/>
  <c r="P59" i="71"/>
  <c r="V22" i="69"/>
  <c r="W22" i="69" s="1"/>
  <c r="X22" i="69" s="1"/>
  <c r="V30" i="69"/>
  <c r="W30" i="69" s="1"/>
  <c r="X30" i="69" s="1"/>
  <c r="X33" i="69"/>
  <c r="V38" i="69"/>
  <c r="W38" i="69" s="1"/>
  <c r="X38" i="69" s="1"/>
  <c r="V49" i="69"/>
  <c r="W49" i="69" s="1"/>
  <c r="X49" i="69" s="1"/>
  <c r="X52" i="69"/>
  <c r="V57" i="69"/>
  <c r="W57" i="69" s="1"/>
  <c r="X57" i="69" s="1"/>
  <c r="X60" i="69"/>
  <c r="V65" i="69"/>
  <c r="W65" i="69" s="1"/>
  <c r="X65" i="69" s="1"/>
  <c r="V73" i="69"/>
  <c r="W73" i="69" s="1"/>
  <c r="X73" i="69" s="1"/>
  <c r="V81" i="69"/>
  <c r="W81" i="69" s="1"/>
  <c r="X81" i="69" s="1"/>
  <c r="V108" i="69"/>
  <c r="W108" i="69" s="1"/>
  <c r="X108" i="69" s="1"/>
  <c r="X111" i="69"/>
  <c r="V116" i="69"/>
  <c r="W116" i="69" s="1"/>
  <c r="X116" i="69" s="1"/>
  <c r="V124" i="69"/>
  <c r="W124" i="69" s="1"/>
  <c r="X124" i="69" s="1"/>
  <c r="X127" i="69"/>
  <c r="V88" i="69"/>
  <c r="W88" i="69" s="1"/>
  <c r="X88" i="69" s="1"/>
  <c r="X91" i="69"/>
  <c r="V96" i="69"/>
  <c r="W96" i="69" s="1"/>
  <c r="X96" i="69" s="1"/>
  <c r="X99" i="69"/>
  <c r="V131" i="69"/>
  <c r="W131" i="69" s="1"/>
  <c r="X131" i="69" s="1"/>
  <c r="X134" i="69"/>
  <c r="V139" i="69"/>
  <c r="W139" i="69" s="1"/>
  <c r="X139" i="69" s="1"/>
  <c r="X142" i="69"/>
  <c r="V147" i="69"/>
  <c r="W147" i="69" s="1"/>
  <c r="X147" i="69" s="1"/>
  <c r="X150" i="69"/>
  <c r="V155" i="69"/>
  <c r="W155" i="69" s="1"/>
  <c r="X155" i="69" s="1"/>
  <c r="X158" i="69"/>
  <c r="X47" i="69"/>
  <c r="X79" i="69"/>
  <c r="X106" i="69"/>
  <c r="X130" i="69"/>
  <c r="X39" i="69"/>
  <c r="X50" i="69"/>
  <c r="X23" i="69"/>
  <c r="X31" i="69"/>
  <c r="X66" i="69"/>
  <c r="X82" i="69"/>
  <c r="X109" i="69"/>
  <c r="X125" i="69"/>
  <c r="V86" i="69"/>
  <c r="W86" i="69" s="1"/>
  <c r="X86" i="69" s="1"/>
  <c r="V94" i="69"/>
  <c r="W94" i="69" s="1"/>
  <c r="X94" i="69" s="1"/>
  <c r="V137" i="69"/>
  <c r="W137" i="69" s="1"/>
  <c r="X137" i="69" s="1"/>
  <c r="V145" i="69"/>
  <c r="W145" i="69" s="1"/>
  <c r="X145" i="69" s="1"/>
  <c r="V153" i="69"/>
  <c r="W153" i="69" s="1"/>
  <c r="X153" i="69" s="1"/>
  <c r="X53" i="69"/>
  <c r="X128" i="69"/>
  <c r="X69" i="69"/>
  <c r="X41" i="69"/>
  <c r="X84" i="69"/>
  <c r="V89" i="69"/>
  <c r="W89" i="69" s="1"/>
  <c r="X89" i="69" s="1"/>
  <c r="V97" i="69"/>
  <c r="W97" i="69" s="1"/>
  <c r="X97" i="69" s="1"/>
  <c r="X100" i="69"/>
  <c r="V132" i="69"/>
  <c r="W132" i="69" s="1"/>
  <c r="X132" i="69" s="1"/>
  <c r="V140" i="69"/>
  <c r="W140" i="69" s="1"/>
  <c r="X140" i="69" s="1"/>
  <c r="X143" i="69"/>
  <c r="V148" i="69"/>
  <c r="W148" i="69" s="1"/>
  <c r="V156" i="69"/>
  <c r="W156" i="69" s="1"/>
  <c r="X156" i="69" s="1"/>
  <c r="X29" i="69"/>
  <c r="X48" i="69"/>
  <c r="X56" i="69"/>
  <c r="X72" i="69"/>
  <c r="X115" i="69"/>
  <c r="X87" i="69"/>
  <c r="X146" i="69"/>
  <c r="X24" i="69"/>
  <c r="X32" i="69"/>
  <c r="X40" i="69"/>
  <c r="X43" i="69"/>
  <c r="X75" i="69"/>
  <c r="X102" i="69"/>
  <c r="X118" i="69"/>
  <c r="X90" i="69"/>
  <c r="X133" i="69"/>
  <c r="X141" i="69"/>
  <c r="X149" i="69"/>
  <c r="X157" i="69"/>
  <c r="X46" i="69"/>
  <c r="X54" i="69"/>
  <c r="X62" i="69"/>
  <c r="X105" i="69"/>
  <c r="X121" i="69"/>
  <c r="X85" i="69"/>
  <c r="X93" i="69"/>
  <c r="X101" i="69"/>
  <c r="X136" i="69"/>
  <c r="X152" i="69"/>
  <c r="X92" i="69"/>
  <c r="X83" i="69"/>
  <c r="X123" i="69"/>
  <c r="P151" i="69"/>
  <c r="P41" i="69"/>
  <c r="P119" i="69"/>
  <c r="P124" i="69"/>
  <c r="X151" i="69"/>
  <c r="P143" i="69"/>
  <c r="X103" i="69"/>
  <c r="X25" i="69"/>
  <c r="P104" i="69"/>
  <c r="P102" i="69"/>
  <c r="X104" i="69"/>
  <c r="P27" i="69"/>
  <c r="P32" i="69"/>
  <c r="P42" i="69"/>
  <c r="P87" i="69"/>
  <c r="P141" i="69"/>
  <c r="P134" i="69"/>
  <c r="X64" i="69"/>
  <c r="X110" i="69"/>
  <c r="P139" i="69"/>
  <c r="X148" i="69"/>
  <c r="X42" i="69"/>
  <c r="P74" i="69"/>
  <c r="X67" i="69"/>
  <c r="P72" i="69"/>
  <c r="P149" i="69"/>
  <c r="P58" i="69"/>
  <c r="X74" i="69"/>
  <c r="X95" i="69"/>
  <c r="X126" i="69"/>
  <c r="P56" i="69"/>
  <c r="X70" i="69"/>
  <c r="P145" i="69"/>
  <c r="X58" i="69"/>
  <c r="P89" i="69"/>
  <c r="P131" i="69"/>
  <c r="X80" i="69"/>
  <c r="P66" i="69"/>
  <c r="P108" i="69"/>
  <c r="P62" i="69"/>
  <c r="P88" i="69"/>
  <c r="P99" i="69"/>
  <c r="P101" i="69"/>
  <c r="P130" i="69"/>
  <c r="P24" i="69"/>
  <c r="P52" i="69"/>
  <c r="P54" i="69"/>
  <c r="X68" i="69"/>
  <c r="P97" i="69"/>
  <c r="P128" i="69"/>
  <c r="P26" i="69"/>
  <c r="P28" i="69"/>
  <c r="X37" i="69"/>
  <c r="P48" i="69"/>
  <c r="P50" i="69"/>
  <c r="P93" i="69"/>
  <c r="P133" i="69"/>
  <c r="P135" i="69"/>
  <c r="P150" i="69"/>
  <c r="X154" i="69"/>
  <c r="P46" i="69"/>
  <c r="P73" i="69"/>
  <c r="P85" i="69"/>
  <c r="X113" i="69"/>
  <c r="X117" i="69"/>
  <c r="P157" i="69"/>
  <c r="X144" i="69"/>
  <c r="P38" i="69"/>
  <c r="P40" i="69"/>
  <c r="P80" i="69"/>
  <c r="P82" i="69"/>
  <c r="X135" i="69"/>
  <c r="P155" i="69"/>
  <c r="P36" i="69"/>
  <c r="P78" i="69"/>
  <c r="P103" i="69"/>
  <c r="P114" i="69"/>
  <c r="P118" i="69"/>
  <c r="P120" i="69"/>
  <c r="P147" i="69"/>
  <c r="X138" i="69"/>
  <c r="X61" i="69"/>
  <c r="X98" i="69"/>
  <c r="P112" i="69"/>
  <c r="X129" i="69"/>
  <c r="P30" i="69"/>
  <c r="P44" i="69"/>
  <c r="P60" i="69"/>
  <c r="P76" i="69"/>
  <c r="P91" i="69"/>
  <c r="P106" i="69"/>
  <c r="P122" i="69"/>
  <c r="P137" i="69"/>
  <c r="P153" i="69"/>
  <c r="P33" i="69"/>
  <c r="P47" i="69"/>
  <c r="P63" i="69"/>
  <c r="P79" i="69"/>
  <c r="P94" i="69"/>
  <c r="P109" i="69"/>
  <c r="P125" i="69"/>
  <c r="P140" i="69"/>
  <c r="P156" i="69"/>
  <c r="P23" i="69"/>
  <c r="P39" i="69"/>
  <c r="P53" i="69"/>
  <c r="P69" i="69"/>
  <c r="P84" i="69"/>
  <c r="P100" i="69"/>
  <c r="P115" i="69"/>
  <c r="P146" i="69"/>
  <c r="P29" i="69"/>
  <c r="P43" i="69"/>
  <c r="P59" i="69"/>
  <c r="P75" i="69"/>
  <c r="P90" i="69"/>
  <c r="P105" i="69"/>
  <c r="P121" i="69"/>
  <c r="P136" i="69"/>
  <c r="P152" i="69"/>
  <c r="P35" i="69"/>
  <c r="P49" i="69"/>
  <c r="P65" i="69"/>
  <c r="P81" i="69"/>
  <c r="P96" i="69"/>
  <c r="P111" i="69"/>
  <c r="P127" i="69"/>
  <c r="P142" i="69"/>
  <c r="P158" i="69"/>
  <c r="P31" i="69"/>
  <c r="P45" i="69"/>
  <c r="P61" i="69"/>
  <c r="P77" i="69"/>
  <c r="P92" i="69"/>
  <c r="P107" i="69"/>
  <c r="P123" i="69"/>
  <c r="P138" i="69"/>
  <c r="P154" i="69"/>
  <c r="V26" i="67"/>
  <c r="W26" i="67" s="1"/>
  <c r="X26" i="67" s="1"/>
  <c r="V27" i="67"/>
  <c r="W27" i="67" s="1"/>
  <c r="X27" i="67" s="1"/>
  <c r="W34" i="67"/>
  <c r="X34" i="67" s="1"/>
  <c r="W37" i="67"/>
  <c r="V22" i="67"/>
  <c r="W22" i="67" s="1"/>
  <c r="X22" i="67" s="1"/>
  <c r="X25" i="67"/>
  <c r="V33" i="67"/>
  <c r="W33" i="67" s="1"/>
  <c r="X33" i="67" s="1"/>
  <c r="W24" i="67"/>
  <c r="V28" i="67"/>
  <c r="W28" i="67" s="1"/>
  <c r="X28" i="67" s="1"/>
  <c r="V31" i="67"/>
  <c r="W31" i="67" s="1"/>
  <c r="X31" i="67" s="1"/>
  <c r="X30" i="67"/>
  <c r="X36" i="67"/>
  <c r="X29" i="67"/>
  <c r="X24" i="67"/>
  <c r="X23" i="67"/>
  <c r="X32" i="67"/>
  <c r="X35" i="67"/>
  <c r="X37" i="67"/>
  <c r="K61" i="38"/>
  <c r="K61" i="29"/>
  <c r="I9" i="62" l="1"/>
  <c r="P22" i="74"/>
  <c r="I4" i="74"/>
  <c r="I5" i="65"/>
  <c r="I5" i="74"/>
  <c r="I4" i="72"/>
  <c r="I8" i="65"/>
  <c r="J6" i="65"/>
  <c r="J10" i="60"/>
  <c r="I5" i="72"/>
  <c r="J8" i="65"/>
  <c r="I6" i="65"/>
  <c r="J7" i="60"/>
  <c r="I5" i="67"/>
  <c r="J9" i="60"/>
  <c r="R22" i="62"/>
  <c r="J11" i="69"/>
  <c r="I4" i="69"/>
  <c r="I4" i="62"/>
  <c r="J9" i="62"/>
  <c r="I7" i="65"/>
  <c r="M21" i="65"/>
  <c r="J7" i="65"/>
  <c r="J5" i="65"/>
  <c r="J4" i="65"/>
  <c r="P22" i="71"/>
  <c r="I5" i="62"/>
  <c r="H26" i="29"/>
  <c r="I8" i="72"/>
  <c r="I9" i="60"/>
  <c r="M21" i="60"/>
  <c r="I7" i="60"/>
  <c r="I4" i="60"/>
  <c r="I6" i="62"/>
  <c r="P22" i="69"/>
  <c r="L21" i="62"/>
  <c r="P34" i="62"/>
  <c r="I5" i="60"/>
  <c r="I7" i="62"/>
  <c r="I7" i="72"/>
  <c r="M21" i="72"/>
  <c r="J8" i="72"/>
  <c r="J7" i="72"/>
  <c r="J5" i="72"/>
  <c r="J4" i="72"/>
  <c r="I8" i="60"/>
  <c r="J5" i="69"/>
  <c r="J7" i="71"/>
  <c r="J11" i="62"/>
  <c r="J6" i="72"/>
  <c r="M22" i="64"/>
  <c r="I8" i="64"/>
  <c r="J7" i="64"/>
  <c r="J4" i="64"/>
  <c r="L21" i="64"/>
  <c r="J9" i="64"/>
  <c r="I7" i="64"/>
  <c r="I6" i="64"/>
  <c r="J5" i="64"/>
  <c r="I9" i="64"/>
  <c r="J8" i="60"/>
  <c r="I10" i="60"/>
  <c r="I6" i="60"/>
  <c r="R22" i="65"/>
  <c r="P21" i="65"/>
  <c r="R21" i="65" s="1"/>
  <c r="P21" i="60"/>
  <c r="R21" i="60" s="1"/>
  <c r="F18" i="29"/>
  <c r="H18" i="29" s="1"/>
  <c r="H20" i="29"/>
  <c r="F20" i="29"/>
  <c r="F18" i="38"/>
  <c r="H18" i="38" s="1"/>
  <c r="H29" i="38" s="1"/>
  <c r="F20" i="38"/>
  <c r="H20" i="38" s="1"/>
  <c r="J5" i="62"/>
  <c r="J6" i="62"/>
  <c r="J7" i="62"/>
  <c r="M21" i="62"/>
  <c r="I8" i="62"/>
  <c r="I11" i="62"/>
  <c r="J8" i="62"/>
  <c r="I10" i="62"/>
  <c r="I12" i="62"/>
  <c r="J10" i="62"/>
  <c r="J4" i="62"/>
  <c r="H24" i="29"/>
  <c r="I6" i="74"/>
  <c r="M21" i="74"/>
  <c r="J6" i="74"/>
  <c r="I8" i="71"/>
  <c r="I7" i="71"/>
  <c r="J6" i="71"/>
  <c r="I6" i="71"/>
  <c r="J5" i="71"/>
  <c r="M21" i="71"/>
  <c r="I5" i="71"/>
  <c r="J4" i="71"/>
  <c r="J9" i="71"/>
  <c r="I9" i="71"/>
  <c r="J8" i="71"/>
  <c r="M21" i="67"/>
  <c r="J5" i="67"/>
  <c r="I6" i="67"/>
  <c r="J6" i="67"/>
  <c r="I8" i="67"/>
  <c r="J7" i="67"/>
  <c r="J8" i="67"/>
  <c r="J4" i="67"/>
  <c r="N14" i="74"/>
  <c r="O14" i="74" s="1"/>
  <c r="P21" i="74"/>
  <c r="N14" i="72"/>
  <c r="O14" i="72" s="1"/>
  <c r="P21" i="72"/>
  <c r="N14" i="71"/>
  <c r="O14" i="71" s="1"/>
  <c r="P21" i="71"/>
  <c r="N14" i="69"/>
  <c r="O14" i="69" s="1"/>
  <c r="P21" i="69"/>
  <c r="N14" i="67"/>
  <c r="L8" i="67" s="1"/>
  <c r="F29" i="38" l="1"/>
  <c r="F34" i="38" s="1"/>
  <c r="K29" i="38"/>
  <c r="H34" i="38"/>
  <c r="M21" i="64"/>
  <c r="I10" i="64"/>
  <c r="P22" i="64"/>
  <c r="I5" i="64"/>
  <c r="J6" i="64"/>
  <c r="I4" i="64"/>
  <c r="J10" i="64"/>
  <c r="J8" i="64"/>
  <c r="H29" i="29"/>
  <c r="R34" i="62"/>
  <c r="P21" i="62"/>
  <c r="R21" i="62" s="1"/>
  <c r="L11" i="72"/>
  <c r="L10" i="72"/>
  <c r="L9" i="72"/>
  <c r="L8" i="72"/>
  <c r="F29" i="29"/>
  <c r="F34" i="29" s="1"/>
  <c r="F59" i="29" s="1"/>
  <c r="L8" i="74"/>
  <c r="L9" i="74"/>
  <c r="L10" i="74"/>
  <c r="L11" i="74"/>
  <c r="L8" i="71"/>
  <c r="L9" i="71"/>
  <c r="L10" i="71"/>
  <c r="L11" i="71"/>
  <c r="L8" i="69"/>
  <c r="L9" i="69"/>
  <c r="L10" i="69"/>
  <c r="L11" i="69"/>
  <c r="L11" i="67"/>
  <c r="L9" i="67"/>
  <c r="L10" i="67"/>
  <c r="O14" i="67"/>
  <c r="K29" i="29" l="1"/>
  <c r="H34" i="29"/>
  <c r="R22" i="64"/>
  <c r="P21" i="64"/>
  <c r="R21" i="64" s="1"/>
  <c r="K34" i="38"/>
  <c r="H59" i="38"/>
  <c r="H60" i="38" l="1"/>
  <c r="K34" i="29"/>
  <c r="H59" i="29"/>
  <c r="H61" i="38"/>
  <c r="K17" i="38" l="1"/>
  <c r="O24" i="60"/>
  <c r="O22" i="60"/>
  <c r="J6" i="48"/>
  <c r="O30" i="60"/>
  <c r="J5" i="48"/>
  <c r="K28" i="38"/>
  <c r="O28" i="60"/>
  <c r="K23" i="38"/>
  <c r="K5" i="38"/>
  <c r="K19" i="38"/>
  <c r="O26" i="60"/>
  <c r="O23" i="60"/>
  <c r="O31" i="60"/>
  <c r="J7" i="48"/>
  <c r="A1" i="38"/>
  <c r="F61" i="38"/>
  <c r="F62" i="38" s="1"/>
  <c r="K62" i="38" s="1"/>
  <c r="K21" i="38"/>
  <c r="O27" i="60"/>
  <c r="O29" i="60"/>
  <c r="O25" i="60"/>
  <c r="H60" i="29"/>
  <c r="H61" i="29"/>
  <c r="K21" i="29" l="1"/>
  <c r="A1" i="29"/>
  <c r="F61" i="29"/>
  <c r="F62" i="29" s="1"/>
  <c r="K62" i="29" s="1"/>
  <c r="K17" i="29"/>
  <c r="K5" i="29"/>
  <c r="K19" i="29"/>
  <c r="K23" i="29"/>
  <c r="K28" i="29"/>
  <c r="Q138" i="62"/>
  <c r="S138" i="62" s="1"/>
  <c r="T138" i="62"/>
  <c r="Q89" i="62"/>
  <c r="S89" i="62" s="1"/>
  <c r="T89" i="62"/>
  <c r="T67" i="64"/>
  <c r="Q67" i="64"/>
  <c r="S67" i="64" s="1"/>
  <c r="O7" i="48"/>
  <c r="L7" i="48"/>
  <c r="M7" i="48" s="1"/>
  <c r="Q118" i="62"/>
  <c r="S118" i="62" s="1"/>
  <c r="T118" i="62"/>
  <c r="Q70" i="62"/>
  <c r="S70" i="62" s="1"/>
  <c r="T70" i="62"/>
  <c r="T27" i="65"/>
  <c r="Q27" i="65"/>
  <c r="S27" i="65" s="1"/>
  <c r="Q132" i="62"/>
  <c r="S132" i="62" s="1"/>
  <c r="T132" i="62"/>
  <c r="Q109" i="62"/>
  <c r="S109" i="62" s="1"/>
  <c r="T109" i="62"/>
  <c r="T126" i="62"/>
  <c r="Q126" i="62"/>
  <c r="S126" i="62" s="1"/>
  <c r="L5" i="48"/>
  <c r="G6" i="3" s="1"/>
  <c r="O5" i="48"/>
  <c r="Q149" i="62"/>
  <c r="S149" i="62" s="1"/>
  <c r="T149" i="62"/>
  <c r="T43" i="64"/>
  <c r="Q43" i="64"/>
  <c r="S43" i="64" s="1"/>
  <c r="Q94" i="62"/>
  <c r="S94" i="62" s="1"/>
  <c r="T94" i="62"/>
  <c r="T31" i="64"/>
  <c r="Q31" i="64"/>
  <c r="S31" i="64" s="1"/>
  <c r="T143" i="62"/>
  <c r="Q143" i="62"/>
  <c r="S143" i="62" s="1"/>
  <c r="Q88" i="62"/>
  <c r="S88" i="62" s="1"/>
  <c r="T88" i="62"/>
  <c r="T40" i="64"/>
  <c r="Q40" i="64"/>
  <c r="S40" i="64" s="1"/>
  <c r="T117" i="62"/>
  <c r="Q117" i="62"/>
  <c r="S117" i="62" s="1"/>
  <c r="T51" i="64"/>
  <c r="Q51" i="64"/>
  <c r="S51" i="64" s="1"/>
  <c r="Q37" i="62"/>
  <c r="S37" i="62" s="1"/>
  <c r="T37" i="62"/>
  <c r="T26" i="64"/>
  <c r="Q26" i="64"/>
  <c r="S26" i="64" s="1"/>
  <c r="Q136" i="62"/>
  <c r="S136" i="62" s="1"/>
  <c r="T136" i="62"/>
  <c r="Q33" i="64"/>
  <c r="S33" i="64" s="1"/>
  <c r="T33" i="64"/>
  <c r="Q78" i="62"/>
  <c r="S78" i="62" s="1"/>
  <c r="T78" i="62"/>
  <c r="T23" i="65"/>
  <c r="Q23" i="65"/>
  <c r="S23" i="65" s="1"/>
  <c r="T45" i="64"/>
  <c r="Q45" i="64"/>
  <c r="S45" i="64" s="1"/>
  <c r="Q51" i="62"/>
  <c r="S51" i="62" s="1"/>
  <c r="T51" i="62"/>
  <c r="Q26" i="62"/>
  <c r="S26" i="62" s="1"/>
  <c r="T26" i="62"/>
  <c r="Q111" i="62"/>
  <c r="S111" i="62" s="1"/>
  <c r="T111" i="62"/>
  <c r="T56" i="64"/>
  <c r="Q56" i="64"/>
  <c r="S56" i="64" s="1"/>
  <c r="Q80" i="62"/>
  <c r="S80" i="62" s="1"/>
  <c r="T80" i="62"/>
  <c r="T46" i="64"/>
  <c r="Q46" i="64"/>
  <c r="S46" i="64" s="1"/>
  <c r="Q27" i="60"/>
  <c r="S27" i="60" s="1"/>
  <c r="T27" i="60"/>
  <c r="T31" i="60"/>
  <c r="Q31" i="60"/>
  <c r="S31" i="60" s="1"/>
  <c r="T48" i="64"/>
  <c r="Q48" i="64"/>
  <c r="S48" i="64" s="1"/>
  <c r="T26" i="60"/>
  <c r="Q26" i="60"/>
  <c r="S26" i="60" s="1"/>
  <c r="T65" i="64"/>
  <c r="Q65" i="64"/>
  <c r="S65" i="64" s="1"/>
  <c r="Q42" i="60"/>
  <c r="S42" i="60" s="1"/>
  <c r="T42" i="60"/>
  <c r="Q45" i="62"/>
  <c r="S45" i="62" s="1"/>
  <c r="T45" i="62"/>
  <c r="Q122" i="62"/>
  <c r="S122" i="62" s="1"/>
  <c r="T122" i="62"/>
  <c r="Q71" i="62"/>
  <c r="S71" i="62" s="1"/>
  <c r="T71" i="62"/>
  <c r="T38" i="64"/>
  <c r="Q38" i="64"/>
  <c r="S38" i="64" s="1"/>
  <c r="Q134" i="62"/>
  <c r="S134" i="62" s="1"/>
  <c r="T134" i="62"/>
  <c r="Q135" i="62"/>
  <c r="S135" i="62" s="1"/>
  <c r="T135" i="62"/>
  <c r="Q57" i="62"/>
  <c r="S57" i="62" s="1"/>
  <c r="T57" i="62"/>
  <c r="T144" i="62"/>
  <c r="Q144" i="62"/>
  <c r="S144" i="62" s="1"/>
  <c r="Q96" i="62"/>
  <c r="S96" i="62" s="1"/>
  <c r="T96" i="62"/>
  <c r="Q59" i="62"/>
  <c r="S59" i="62" s="1"/>
  <c r="T59" i="62"/>
  <c r="Q82" i="62"/>
  <c r="S82" i="62" s="1"/>
  <c r="T82" i="62"/>
  <c r="Q73" i="62"/>
  <c r="S73" i="62" s="1"/>
  <c r="T73" i="62"/>
  <c r="Q22" i="60"/>
  <c r="T22" i="60"/>
  <c r="Q52" i="62"/>
  <c r="S52" i="62" s="1"/>
  <c r="T52" i="62"/>
  <c r="Q114" i="62"/>
  <c r="S114" i="62" s="1"/>
  <c r="T114" i="62"/>
  <c r="T120" i="62"/>
  <c r="Q120" i="62"/>
  <c r="S120" i="62" s="1"/>
  <c r="T27" i="62"/>
  <c r="Q27" i="62"/>
  <c r="S27" i="62" s="1"/>
  <c r="Q125" i="62"/>
  <c r="S125" i="62" s="1"/>
  <c r="T125" i="62"/>
  <c r="Q47" i="62"/>
  <c r="S47" i="62" s="1"/>
  <c r="T47" i="62"/>
  <c r="T150" i="62"/>
  <c r="Q150" i="62"/>
  <c r="S150" i="62" s="1"/>
  <c r="Q41" i="60"/>
  <c r="S41" i="60" s="1"/>
  <c r="T41" i="60"/>
  <c r="Q42" i="64"/>
  <c r="S42" i="64" s="1"/>
  <c r="T42" i="64"/>
  <c r="T36" i="64"/>
  <c r="Q36" i="64"/>
  <c r="S36" i="64" s="1"/>
  <c r="Q50" i="62"/>
  <c r="S50" i="62" s="1"/>
  <c r="T50" i="62"/>
  <c r="T37" i="60"/>
  <c r="Q37" i="60"/>
  <c r="S37" i="60" s="1"/>
  <c r="Q133" i="62"/>
  <c r="S133" i="62" s="1"/>
  <c r="T133" i="62"/>
  <c r="Q129" i="62"/>
  <c r="S129" i="62" s="1"/>
  <c r="T129" i="62"/>
  <c r="Q23" i="60"/>
  <c r="S23" i="60" s="1"/>
  <c r="T23" i="60"/>
  <c r="Q37" i="64"/>
  <c r="S37" i="64" s="1"/>
  <c r="T37" i="64"/>
  <c r="T58" i="62"/>
  <c r="Q58" i="62"/>
  <c r="S58" i="62" s="1"/>
  <c r="Q141" i="62"/>
  <c r="S141" i="62" s="1"/>
  <c r="T141" i="62"/>
  <c r="Q100" i="62"/>
  <c r="S100" i="62" s="1"/>
  <c r="T100" i="62"/>
  <c r="T28" i="62"/>
  <c r="Q28" i="62"/>
  <c r="S28" i="62" s="1"/>
  <c r="Q35" i="60"/>
  <c r="S35" i="60" s="1"/>
  <c r="T35" i="60"/>
  <c r="T142" i="62"/>
  <c r="Q142" i="62"/>
  <c r="S142" i="62" s="1"/>
  <c r="Q59" i="64"/>
  <c r="S59" i="64" s="1"/>
  <c r="T59" i="64"/>
  <c r="Q47" i="64"/>
  <c r="S47" i="64" s="1"/>
  <c r="T47" i="64"/>
  <c r="T62" i="62"/>
  <c r="Q62" i="62"/>
  <c r="S62" i="62" s="1"/>
  <c r="Q95" i="62"/>
  <c r="S95" i="62" s="1"/>
  <c r="T95" i="62"/>
  <c r="Q99" i="62"/>
  <c r="S99" i="62" s="1"/>
  <c r="T99" i="62"/>
  <c r="T145" i="62"/>
  <c r="Q145" i="62"/>
  <c r="S145" i="62" s="1"/>
  <c r="Q34" i="62"/>
  <c r="S34" i="62" s="1"/>
  <c r="T34" i="62"/>
  <c r="T32" i="62"/>
  <c r="Q32" i="62"/>
  <c r="S32" i="62" s="1"/>
  <c r="T25" i="65"/>
  <c r="Q25" i="65"/>
  <c r="S25" i="65" s="1"/>
  <c r="T33" i="62"/>
  <c r="Q33" i="62"/>
  <c r="S33" i="62" s="1"/>
  <c r="Q77" i="62"/>
  <c r="S77" i="62" s="1"/>
  <c r="T77" i="62"/>
  <c r="Q68" i="64"/>
  <c r="S68" i="64" s="1"/>
  <c r="T68" i="64"/>
  <c r="Q57" i="64"/>
  <c r="S57" i="64" s="1"/>
  <c r="T57" i="64"/>
  <c r="Q72" i="62"/>
  <c r="S72" i="62" s="1"/>
  <c r="T72" i="62"/>
  <c r="Q93" i="62"/>
  <c r="S93" i="62" s="1"/>
  <c r="T93" i="62"/>
  <c r="T58" i="64"/>
  <c r="Q58" i="64"/>
  <c r="S58" i="64" s="1"/>
  <c r="Q53" i="62"/>
  <c r="S53" i="62" s="1"/>
  <c r="T53" i="62"/>
  <c r="T35" i="64"/>
  <c r="Q35" i="64"/>
  <c r="S35" i="64" s="1"/>
  <c r="Q146" i="62"/>
  <c r="S146" i="62" s="1"/>
  <c r="T146" i="62"/>
  <c r="Q55" i="62"/>
  <c r="S55" i="62" s="1"/>
  <c r="T55" i="62"/>
  <c r="Q54" i="64"/>
  <c r="S54" i="64" s="1"/>
  <c r="T54" i="64"/>
  <c r="T23" i="62"/>
  <c r="Q23" i="62"/>
  <c r="S23" i="62" s="1"/>
  <c r="T60" i="64"/>
  <c r="Q60" i="64"/>
  <c r="S60" i="64" s="1"/>
  <c r="Q54" i="62"/>
  <c r="S54" i="62" s="1"/>
  <c r="T54" i="62"/>
  <c r="Q24" i="62"/>
  <c r="S24" i="62" s="1"/>
  <c r="T24" i="62"/>
  <c r="T24" i="64"/>
  <c r="Q24" i="64"/>
  <c r="S24" i="64" s="1"/>
  <c r="Q44" i="62"/>
  <c r="S44" i="62" s="1"/>
  <c r="T44" i="62"/>
  <c r="L6" i="48"/>
  <c r="O6" i="48"/>
  <c r="Q151" i="62"/>
  <c r="S151" i="62" s="1"/>
  <c r="T151" i="62"/>
  <c r="Q128" i="62"/>
  <c r="S128" i="62" s="1"/>
  <c r="T128" i="62"/>
  <c r="Q41" i="62"/>
  <c r="S41" i="62" s="1"/>
  <c r="T41" i="62"/>
  <c r="Q140" i="62"/>
  <c r="S140" i="62" s="1"/>
  <c r="T140" i="62"/>
  <c r="T75" i="62"/>
  <c r="Q75" i="62"/>
  <c r="S75" i="62" s="1"/>
  <c r="Q102" i="62"/>
  <c r="S102" i="62" s="1"/>
  <c r="T102" i="62"/>
  <c r="T22" i="65"/>
  <c r="Q22" i="65"/>
  <c r="Q36" i="62"/>
  <c r="S36" i="62" s="1"/>
  <c r="T36" i="62"/>
  <c r="Q26" i="65"/>
  <c r="S26" i="65" s="1"/>
  <c r="T26" i="65"/>
  <c r="Q49" i="62"/>
  <c r="S49" i="62" s="1"/>
  <c r="T49" i="62"/>
  <c r="T25" i="60"/>
  <c r="Q25" i="60"/>
  <c r="S25" i="60" s="1"/>
  <c r="T25" i="62"/>
  <c r="Q25" i="62"/>
  <c r="S25" i="62" s="1"/>
  <c r="Q60" i="62"/>
  <c r="S60" i="62" s="1"/>
  <c r="T60" i="62"/>
  <c r="Q81" i="62"/>
  <c r="S81" i="62" s="1"/>
  <c r="T81" i="62"/>
  <c r="Q61" i="62"/>
  <c r="S61" i="62" s="1"/>
  <c r="T61" i="62"/>
  <c r="T56" i="62"/>
  <c r="Q56" i="62"/>
  <c r="S56" i="62" s="1"/>
  <c r="Q139" i="62"/>
  <c r="S139" i="62" s="1"/>
  <c r="T139" i="62"/>
  <c r="Q86" i="62"/>
  <c r="S86" i="62" s="1"/>
  <c r="T86" i="62"/>
  <c r="T27" i="64"/>
  <c r="Q27" i="64"/>
  <c r="S27" i="64" s="1"/>
  <c r="Q30" i="64"/>
  <c r="S30" i="64" s="1"/>
  <c r="T30" i="64"/>
  <c r="Q32" i="64"/>
  <c r="S32" i="64" s="1"/>
  <c r="T32" i="64"/>
  <c r="T61" i="64"/>
  <c r="Q61" i="64"/>
  <c r="S61" i="64" s="1"/>
  <c r="Q30" i="62"/>
  <c r="S30" i="62" s="1"/>
  <c r="T30" i="62"/>
  <c r="Q110" i="62"/>
  <c r="S110" i="62" s="1"/>
  <c r="T110" i="62"/>
  <c r="Q76" i="62"/>
  <c r="S76" i="62" s="1"/>
  <c r="T76" i="62"/>
  <c r="Q63" i="64"/>
  <c r="S63" i="64" s="1"/>
  <c r="T63" i="64"/>
  <c r="Q44" i="64"/>
  <c r="S44" i="64" s="1"/>
  <c r="T44" i="64"/>
  <c r="T40" i="60"/>
  <c r="Q40" i="60"/>
  <c r="S40" i="60" s="1"/>
  <c r="T64" i="62"/>
  <c r="Q64" i="62"/>
  <c r="S64" i="62" s="1"/>
  <c r="T33" i="60"/>
  <c r="Q33" i="60"/>
  <c r="S33" i="60" s="1"/>
  <c r="Q29" i="64"/>
  <c r="S29" i="64" s="1"/>
  <c r="T29" i="64"/>
  <c r="T49" i="64"/>
  <c r="Q49" i="64"/>
  <c r="S49" i="64" s="1"/>
  <c r="Q39" i="62"/>
  <c r="S39" i="62" s="1"/>
  <c r="T39" i="62"/>
  <c r="Q23" i="64"/>
  <c r="S23" i="64" s="1"/>
  <c r="T23" i="64"/>
  <c r="T39" i="64"/>
  <c r="Q39" i="64"/>
  <c r="S39" i="64" s="1"/>
  <c r="Q116" i="62"/>
  <c r="S116" i="62" s="1"/>
  <c r="T116" i="62"/>
  <c r="Q87" i="62"/>
  <c r="S87" i="62" s="1"/>
  <c r="T87" i="62"/>
  <c r="T22" i="64"/>
  <c r="Q22" i="64"/>
  <c r="Q108" i="62"/>
  <c r="S108" i="62" s="1"/>
  <c r="T108" i="62"/>
  <c r="T55" i="64"/>
  <c r="Q55" i="64"/>
  <c r="S55" i="64" s="1"/>
  <c r="T67" i="62"/>
  <c r="Q67" i="62"/>
  <c r="S67" i="62" s="1"/>
  <c r="Q31" i="62"/>
  <c r="S31" i="62" s="1"/>
  <c r="T31" i="62"/>
  <c r="Q123" i="62"/>
  <c r="S123" i="62" s="1"/>
  <c r="T123" i="62"/>
  <c r="T28" i="60"/>
  <c r="Q28" i="60"/>
  <c r="S28" i="60" s="1"/>
  <c r="T106" i="62"/>
  <c r="Q106" i="62"/>
  <c r="S106" i="62" s="1"/>
  <c r="Q147" i="62"/>
  <c r="S147" i="62" s="1"/>
  <c r="T147" i="62"/>
  <c r="T41" i="64"/>
  <c r="Q41" i="64"/>
  <c r="S41" i="64" s="1"/>
  <c r="Q119" i="62"/>
  <c r="S119" i="62" s="1"/>
  <c r="T119" i="62"/>
  <c r="Q62" i="64"/>
  <c r="S62" i="64" s="1"/>
  <c r="T62" i="64"/>
  <c r="Q92" i="62"/>
  <c r="S92" i="62" s="1"/>
  <c r="T92" i="62"/>
  <c r="Q46" i="62"/>
  <c r="S46" i="62" s="1"/>
  <c r="T46" i="62"/>
  <c r="T66" i="62"/>
  <c r="Q66" i="62"/>
  <c r="S66" i="62" s="1"/>
  <c r="Q24" i="60"/>
  <c r="S24" i="60" s="1"/>
  <c r="T24" i="60"/>
  <c r="Q107" i="62"/>
  <c r="S107" i="62" s="1"/>
  <c r="T107" i="62"/>
  <c r="Q69" i="62"/>
  <c r="S69" i="62" s="1"/>
  <c r="T69" i="62"/>
  <c r="Q28" i="64"/>
  <c r="S28" i="64" s="1"/>
  <c r="T28" i="64"/>
  <c r="Q79" i="62"/>
  <c r="S79" i="62" s="1"/>
  <c r="T79" i="62"/>
  <c r="T53" i="64"/>
  <c r="Q53" i="64"/>
  <c r="S53" i="64" s="1"/>
  <c r="Q70" i="64"/>
  <c r="S70" i="64" s="1"/>
  <c r="T70" i="64"/>
  <c r="T69" i="64"/>
  <c r="Q69" i="64"/>
  <c r="S69" i="64" s="1"/>
  <c r="Q115" i="62"/>
  <c r="S115" i="62" s="1"/>
  <c r="T115" i="62"/>
  <c r="T98" i="62"/>
  <c r="Q98" i="62"/>
  <c r="S98" i="62" s="1"/>
  <c r="Q113" i="62"/>
  <c r="S113" i="62" s="1"/>
  <c r="T113" i="62"/>
  <c r="Q103" i="62"/>
  <c r="S103" i="62" s="1"/>
  <c r="T103" i="62"/>
  <c r="Q131" i="62"/>
  <c r="S131" i="62" s="1"/>
  <c r="T131" i="62"/>
  <c r="T112" i="62"/>
  <c r="Q112" i="62"/>
  <c r="S112" i="62" s="1"/>
  <c r="Q63" i="62"/>
  <c r="S63" i="62" s="1"/>
  <c r="T63" i="62"/>
  <c r="T66" i="64"/>
  <c r="Q66" i="64"/>
  <c r="S66" i="64" s="1"/>
  <c r="Q152" i="62"/>
  <c r="S152" i="62" s="1"/>
  <c r="T152" i="62"/>
  <c r="Q127" i="62"/>
  <c r="S127" i="62" s="1"/>
  <c r="T127" i="62"/>
  <c r="Q29" i="60"/>
  <c r="S29" i="60" s="1"/>
  <c r="T29" i="60"/>
  <c r="T52" i="64"/>
  <c r="Q52" i="64"/>
  <c r="S52" i="64" s="1"/>
  <c r="Q91" i="62"/>
  <c r="S91" i="62" s="1"/>
  <c r="T91" i="62"/>
  <c r="Q105" i="62"/>
  <c r="S105" i="62" s="1"/>
  <c r="T105" i="62"/>
  <c r="T130" i="62"/>
  <c r="Q130" i="62"/>
  <c r="S130" i="62" s="1"/>
  <c r="Q22" i="62"/>
  <c r="T22" i="62"/>
  <c r="Q83" i="62"/>
  <c r="S83" i="62" s="1"/>
  <c r="T83" i="62"/>
  <c r="T64" i="64"/>
  <c r="Q64" i="64"/>
  <c r="S64" i="64" s="1"/>
  <c r="Q65" i="62"/>
  <c r="S65" i="62" s="1"/>
  <c r="T65" i="62"/>
  <c r="Q48" i="62"/>
  <c r="S48" i="62" s="1"/>
  <c r="T48" i="62"/>
  <c r="Q74" i="62"/>
  <c r="S74" i="62" s="1"/>
  <c r="T74" i="62"/>
  <c r="T34" i="60"/>
  <c r="Q34" i="60"/>
  <c r="S34" i="60" s="1"/>
  <c r="Q137" i="62"/>
  <c r="S137" i="62" s="1"/>
  <c r="T137" i="62"/>
  <c r="T50" i="64"/>
  <c r="Q50" i="64"/>
  <c r="S50" i="64" s="1"/>
  <c r="Q97" i="62"/>
  <c r="S97" i="62" s="1"/>
  <c r="T97" i="62"/>
  <c r="T121" i="62"/>
  <c r="Q121" i="62"/>
  <c r="S121" i="62" s="1"/>
  <c r="Q148" i="62"/>
  <c r="S148" i="62" s="1"/>
  <c r="T148" i="62"/>
  <c r="T35" i="62"/>
  <c r="Q35" i="62"/>
  <c r="S35" i="62" s="1"/>
  <c r="Q101" i="62"/>
  <c r="S101" i="62" s="1"/>
  <c r="T101" i="62"/>
  <c r="T43" i="62"/>
  <c r="Q43" i="62"/>
  <c r="S43" i="62" s="1"/>
  <c r="Q84" i="62"/>
  <c r="S84" i="62" s="1"/>
  <c r="T84" i="62"/>
  <c r="T34" i="64"/>
  <c r="Q34" i="64"/>
  <c r="S34" i="64" s="1"/>
  <c r="Q38" i="62"/>
  <c r="S38" i="62" s="1"/>
  <c r="T38" i="62"/>
  <c r="Q24" i="65"/>
  <c r="S24" i="65" s="1"/>
  <c r="T24" i="65"/>
  <c r="Q68" i="62"/>
  <c r="S68" i="62" s="1"/>
  <c r="T68" i="62"/>
  <c r="Q90" i="62"/>
  <c r="S90" i="62" s="1"/>
  <c r="T90" i="62"/>
  <c r="Q29" i="62"/>
  <c r="S29" i="62" s="1"/>
  <c r="T29" i="62"/>
  <c r="S61" i="71" l="1"/>
  <c r="Q61" i="71"/>
  <c r="R61" i="71" s="1"/>
  <c r="S22" i="65"/>
  <c r="Q21" i="65"/>
  <c r="O3" i="48"/>
  <c r="S82" i="69"/>
  <c r="Q82" i="69"/>
  <c r="R82" i="69" s="1"/>
  <c r="S35" i="69"/>
  <c r="Q35" i="69"/>
  <c r="R35" i="69" s="1"/>
  <c r="S97" i="69"/>
  <c r="Q97" i="69"/>
  <c r="R97" i="69" s="1"/>
  <c r="Q38" i="71"/>
  <c r="R38" i="71" s="1"/>
  <c r="S38" i="71"/>
  <c r="S25" i="71"/>
  <c r="Q25" i="71"/>
  <c r="R25" i="71" s="1"/>
  <c r="S42" i="71"/>
  <c r="Q42" i="71"/>
  <c r="R42" i="71" s="1"/>
  <c r="S124" i="69"/>
  <c r="Q124" i="69"/>
  <c r="R124" i="69" s="1"/>
  <c r="S22" i="64"/>
  <c r="Q21" i="64"/>
  <c r="S52" i="71"/>
  <c r="Q52" i="71"/>
  <c r="R52" i="71" s="1"/>
  <c r="S40" i="69"/>
  <c r="Q40" i="69"/>
  <c r="R40" i="69" s="1"/>
  <c r="S46" i="71"/>
  <c r="Q46" i="71"/>
  <c r="R46" i="71" s="1"/>
  <c r="S93" i="69"/>
  <c r="Q93" i="69"/>
  <c r="R93" i="69" s="1"/>
  <c r="S121" i="69"/>
  <c r="Q121" i="69"/>
  <c r="R121" i="69" s="1"/>
  <c r="S59" i="69"/>
  <c r="Q59" i="69"/>
  <c r="R59" i="69" s="1"/>
  <c r="S36" i="71"/>
  <c r="Q36" i="71"/>
  <c r="R36" i="71" s="1"/>
  <c r="S88" i="69"/>
  <c r="Q88" i="69"/>
  <c r="R88" i="69" s="1"/>
  <c r="S41" i="71"/>
  <c r="Q41" i="71"/>
  <c r="R41" i="71" s="1"/>
  <c r="S42" i="69"/>
  <c r="Q42" i="69"/>
  <c r="R42" i="69" s="1"/>
  <c r="S24" i="74"/>
  <c r="Q24" i="74"/>
  <c r="R24" i="74" s="1"/>
  <c r="S118" i="69"/>
  <c r="Q118" i="69"/>
  <c r="R118" i="69" s="1"/>
  <c r="Q117" i="69"/>
  <c r="R117" i="69" s="1"/>
  <c r="S117" i="69"/>
  <c r="S22" i="71"/>
  <c r="Q22" i="71"/>
  <c r="S36" i="69"/>
  <c r="Q36" i="69"/>
  <c r="R36" i="69" s="1"/>
  <c r="S53" i="69"/>
  <c r="Q53" i="69"/>
  <c r="R53" i="69" s="1"/>
  <c r="Q23" i="67"/>
  <c r="R23" i="67" s="1"/>
  <c r="S23" i="67"/>
  <c r="S155" i="69"/>
  <c r="Q155" i="69"/>
  <c r="R155" i="69" s="1"/>
  <c r="S39" i="69"/>
  <c r="Q39" i="69"/>
  <c r="R39" i="69" s="1"/>
  <c r="S81" i="69"/>
  <c r="Q81" i="69"/>
  <c r="R81" i="69" s="1"/>
  <c r="S46" i="69"/>
  <c r="Q46" i="69"/>
  <c r="R46" i="69" s="1"/>
  <c r="S64" i="69"/>
  <c r="Q64" i="69"/>
  <c r="R64" i="69" s="1"/>
  <c r="S103" i="69"/>
  <c r="Q103" i="69"/>
  <c r="R103" i="69" s="1"/>
  <c r="S153" i="69"/>
  <c r="Q153" i="69"/>
  <c r="R153" i="69" s="1"/>
  <c r="S131" i="69"/>
  <c r="Q131" i="69"/>
  <c r="R131" i="69" s="1"/>
  <c r="S44" i="71"/>
  <c r="Q44" i="71"/>
  <c r="R44" i="71" s="1"/>
  <c r="S156" i="69"/>
  <c r="Q156" i="69"/>
  <c r="R156" i="69" s="1"/>
  <c r="S126" i="69"/>
  <c r="Q126" i="69"/>
  <c r="R126" i="69" s="1"/>
  <c r="S147" i="69"/>
  <c r="Q147" i="69"/>
  <c r="R147" i="69" s="1"/>
  <c r="S26" i="71"/>
  <c r="Q26" i="71"/>
  <c r="R26" i="71" s="1"/>
  <c r="S54" i="71"/>
  <c r="Q54" i="71"/>
  <c r="R54" i="71" s="1"/>
  <c r="S45" i="71"/>
  <c r="Q45" i="71"/>
  <c r="R45" i="71" s="1"/>
  <c r="S23" i="74"/>
  <c r="Q23" i="74"/>
  <c r="R23" i="74" s="1"/>
  <c r="S136" i="69"/>
  <c r="Q136" i="69"/>
  <c r="R136" i="69" s="1"/>
  <c r="S63" i="69"/>
  <c r="Q63" i="69"/>
  <c r="R63" i="69" s="1"/>
  <c r="S32" i="67"/>
  <c r="Q32" i="67"/>
  <c r="R32" i="67" s="1"/>
  <c r="S47" i="69"/>
  <c r="Q47" i="69"/>
  <c r="R47" i="69" s="1"/>
  <c r="S23" i="72"/>
  <c r="Q23" i="72"/>
  <c r="R23" i="72" s="1"/>
  <c r="Q35" i="71"/>
  <c r="R35" i="71" s="1"/>
  <c r="S35" i="71"/>
  <c r="S55" i="71"/>
  <c r="Q55" i="71"/>
  <c r="R55" i="71" s="1"/>
  <c r="S92" i="69"/>
  <c r="Q92" i="69"/>
  <c r="R92" i="69" s="1"/>
  <c r="S146" i="69"/>
  <c r="Q146" i="69"/>
  <c r="R146" i="69" s="1"/>
  <c r="S66" i="69"/>
  <c r="Q66" i="69"/>
  <c r="R66" i="69" s="1"/>
  <c r="S86" i="69"/>
  <c r="Q86" i="69"/>
  <c r="R86" i="69" s="1"/>
  <c r="S114" i="69"/>
  <c r="Q114" i="69"/>
  <c r="R114" i="69" s="1"/>
  <c r="S61" i="69"/>
  <c r="Q61" i="69"/>
  <c r="R61" i="69" s="1"/>
  <c r="S62" i="69"/>
  <c r="Q62" i="69"/>
  <c r="R62" i="69" s="1"/>
  <c r="S140" i="69"/>
  <c r="Q140" i="69"/>
  <c r="R140" i="69" s="1"/>
  <c r="S27" i="69"/>
  <c r="Q27" i="69"/>
  <c r="R27" i="69" s="1"/>
  <c r="Q68" i="69"/>
  <c r="R68" i="69" s="1"/>
  <c r="S68" i="69"/>
  <c r="S30" i="71"/>
  <c r="Q30" i="71"/>
  <c r="R30" i="71" s="1"/>
  <c r="S68" i="71"/>
  <c r="Q68" i="71"/>
  <c r="R68" i="71" s="1"/>
  <c r="S71" i="69"/>
  <c r="Q71" i="69"/>
  <c r="R71" i="69" s="1"/>
  <c r="S51" i="69"/>
  <c r="Q51" i="69"/>
  <c r="R51" i="69" s="1"/>
  <c r="Q48" i="69"/>
  <c r="R48" i="69" s="1"/>
  <c r="S48" i="69"/>
  <c r="S90" i="69"/>
  <c r="Q90" i="69"/>
  <c r="R90" i="69" s="1"/>
  <c r="Q25" i="69"/>
  <c r="R25" i="69" s="1"/>
  <c r="S25" i="69"/>
  <c r="T14" i="65"/>
  <c r="M6" i="48"/>
  <c r="J20" i="1"/>
  <c r="M5" i="48"/>
  <c r="S58" i="69"/>
  <c r="Q58" i="69"/>
  <c r="R58" i="69" s="1"/>
  <c r="S34" i="71"/>
  <c r="Q34" i="71"/>
  <c r="R34" i="71" s="1"/>
  <c r="S48" i="71"/>
  <c r="Q48" i="71"/>
  <c r="R48" i="71" s="1"/>
  <c r="S137" i="69"/>
  <c r="Q137" i="69"/>
  <c r="R137" i="69" s="1"/>
  <c r="S43" i="69"/>
  <c r="Q43" i="69"/>
  <c r="R43" i="69" s="1"/>
  <c r="S78" i="69"/>
  <c r="Q78" i="69"/>
  <c r="R78" i="69" s="1"/>
  <c r="Q95" i="69"/>
  <c r="R95" i="69" s="1"/>
  <c r="S95" i="69"/>
  <c r="S85" i="69"/>
  <c r="Q85" i="69"/>
  <c r="R85" i="69" s="1"/>
  <c r="S63" i="71"/>
  <c r="Q63" i="71"/>
  <c r="R63" i="71" s="1"/>
  <c r="S138" i="69"/>
  <c r="Q138" i="69"/>
  <c r="R138" i="69" s="1"/>
  <c r="S41" i="69"/>
  <c r="Q41" i="69"/>
  <c r="R41" i="69" s="1"/>
  <c r="S87" i="69"/>
  <c r="Q87" i="69"/>
  <c r="R87" i="69" s="1"/>
  <c r="S38" i="69"/>
  <c r="Q38" i="69"/>
  <c r="R38" i="69" s="1"/>
  <c r="S89" i="69"/>
  <c r="Q89" i="69"/>
  <c r="R89" i="69" s="1"/>
  <c r="S31" i="67"/>
  <c r="Q31" i="67"/>
  <c r="R31" i="67" s="1"/>
  <c r="S65" i="71"/>
  <c r="Q65" i="71"/>
  <c r="R65" i="71" s="1"/>
  <c r="S112" i="69"/>
  <c r="Q112" i="69"/>
  <c r="R112" i="69" s="1"/>
  <c r="S45" i="69"/>
  <c r="Q45" i="69"/>
  <c r="R45" i="69" s="1"/>
  <c r="S35" i="67"/>
  <c r="Q35" i="67"/>
  <c r="R35" i="67" s="1"/>
  <c r="Q110" i="69"/>
  <c r="R110" i="69" s="1"/>
  <c r="S110" i="69"/>
  <c r="S32" i="71"/>
  <c r="Q32" i="71"/>
  <c r="R32" i="71" s="1"/>
  <c r="S22" i="69"/>
  <c r="Q22" i="69"/>
  <c r="Q37" i="67"/>
  <c r="R37" i="67" s="1"/>
  <c r="S37" i="67"/>
  <c r="S60" i="71"/>
  <c r="Q60" i="71"/>
  <c r="R60" i="71" s="1"/>
  <c r="S52" i="69"/>
  <c r="Q52" i="69"/>
  <c r="R52" i="69" s="1"/>
  <c r="S125" i="69"/>
  <c r="Q125" i="69"/>
  <c r="R125" i="69" s="1"/>
  <c r="Q28" i="67"/>
  <c r="R28" i="67" s="1"/>
  <c r="S28" i="67"/>
  <c r="Q148" i="69"/>
  <c r="R148" i="69" s="1"/>
  <c r="S148" i="69"/>
  <c r="Q58" i="71"/>
  <c r="R58" i="71" s="1"/>
  <c r="S58" i="71"/>
  <c r="S76" i="69"/>
  <c r="Q76" i="69"/>
  <c r="R76" i="69" s="1"/>
  <c r="S28" i="69"/>
  <c r="Q28" i="69"/>
  <c r="R28" i="69" s="1"/>
  <c r="Q32" i="69"/>
  <c r="R32" i="69" s="1"/>
  <c r="S32" i="69"/>
  <c r="S30" i="67"/>
  <c r="Q30" i="67"/>
  <c r="R30" i="67" s="1"/>
  <c r="S31" i="69"/>
  <c r="Q31" i="69"/>
  <c r="R31" i="69" s="1"/>
  <c r="S26" i="69"/>
  <c r="Q26" i="69"/>
  <c r="R26" i="69" s="1"/>
  <c r="S102" i="69"/>
  <c r="Q102" i="69"/>
  <c r="R102" i="69" s="1"/>
  <c r="S74" i="69"/>
  <c r="Q74" i="69"/>
  <c r="R74" i="69" s="1"/>
  <c r="S79" i="69"/>
  <c r="Q79" i="69"/>
  <c r="R79" i="69" s="1"/>
  <c r="S49" i="69"/>
  <c r="Q49" i="69"/>
  <c r="R49" i="69" s="1"/>
  <c r="Q37" i="69"/>
  <c r="R37" i="69" s="1"/>
  <c r="S37" i="69"/>
  <c r="S50" i="71"/>
  <c r="Q50" i="71"/>
  <c r="R50" i="71" s="1"/>
  <c r="S73" i="69"/>
  <c r="Q73" i="69"/>
  <c r="R73" i="69" s="1"/>
  <c r="T14" i="62"/>
  <c r="T14" i="60"/>
  <c r="S96" i="69"/>
  <c r="Q96" i="69"/>
  <c r="R96" i="69" s="1"/>
  <c r="S27" i="67"/>
  <c r="Q27" i="67"/>
  <c r="R27" i="67" s="1"/>
  <c r="S51" i="71"/>
  <c r="Q51" i="71"/>
  <c r="R51" i="71" s="1"/>
  <c r="S39" i="71"/>
  <c r="Q39" i="71"/>
  <c r="R39" i="71" s="1"/>
  <c r="S128" i="69"/>
  <c r="Q128" i="69"/>
  <c r="R128" i="69" s="1"/>
  <c r="S75" i="69"/>
  <c r="Q75" i="69"/>
  <c r="R75" i="69" s="1"/>
  <c r="S31" i="71"/>
  <c r="Q31" i="71"/>
  <c r="R31" i="71" s="1"/>
  <c r="S34" i="67"/>
  <c r="Q34" i="67"/>
  <c r="R34" i="67" s="1"/>
  <c r="S44" i="69"/>
  <c r="Q44" i="69"/>
  <c r="R44" i="69" s="1"/>
  <c r="S69" i="69"/>
  <c r="Q69" i="69"/>
  <c r="R69" i="69" s="1"/>
  <c r="S62" i="71"/>
  <c r="Q62" i="71"/>
  <c r="R62" i="71" s="1"/>
  <c r="S57" i="69"/>
  <c r="Q57" i="69"/>
  <c r="R57" i="69" s="1"/>
  <c r="S115" i="69"/>
  <c r="Q115" i="69"/>
  <c r="R115" i="69" s="1"/>
  <c r="S101" i="69"/>
  <c r="Q101" i="69"/>
  <c r="R101" i="69" s="1"/>
  <c r="Q98" i="69"/>
  <c r="R98" i="69" s="1"/>
  <c r="S98" i="69"/>
  <c r="S134" i="69"/>
  <c r="Q134" i="69"/>
  <c r="R134" i="69" s="1"/>
  <c r="S55" i="69"/>
  <c r="Q55" i="69"/>
  <c r="R55" i="69" s="1"/>
  <c r="S72" i="69"/>
  <c r="Q72" i="69"/>
  <c r="R72" i="69" s="1"/>
  <c r="S109" i="69"/>
  <c r="Q109" i="69"/>
  <c r="R109" i="69" s="1"/>
  <c r="S135" i="69"/>
  <c r="Q135" i="69"/>
  <c r="R135" i="69" s="1"/>
  <c r="S129" i="69"/>
  <c r="Q129" i="69"/>
  <c r="R129" i="69" s="1"/>
  <c r="S143" i="69"/>
  <c r="Q143" i="69"/>
  <c r="R143" i="69" s="1"/>
  <c r="S29" i="71"/>
  <c r="Q29" i="71"/>
  <c r="R29" i="71" s="1"/>
  <c r="S22" i="72"/>
  <c r="Q22" i="72"/>
  <c r="S113" i="69"/>
  <c r="Q113" i="69"/>
  <c r="R113" i="69" s="1"/>
  <c r="S53" i="71"/>
  <c r="Q53" i="71"/>
  <c r="R53" i="71" s="1"/>
  <c r="S33" i="67"/>
  <c r="Q33" i="67"/>
  <c r="R33" i="67" s="1"/>
  <c r="S158" i="69"/>
  <c r="Q158" i="69"/>
  <c r="R158" i="69" s="1"/>
  <c r="S100" i="69"/>
  <c r="Q100" i="69"/>
  <c r="R100" i="69" s="1"/>
  <c r="S84" i="69"/>
  <c r="Q84" i="69"/>
  <c r="R84" i="69" s="1"/>
  <c r="S105" i="69"/>
  <c r="Q105" i="69"/>
  <c r="R105" i="69" s="1"/>
  <c r="S144" i="69"/>
  <c r="Q144" i="69"/>
  <c r="R144" i="69" s="1"/>
  <c r="S120" i="69"/>
  <c r="Q120" i="69"/>
  <c r="R120" i="69" s="1"/>
  <c r="T14" i="64"/>
  <c r="S154" i="69"/>
  <c r="Q154" i="69"/>
  <c r="R154" i="69" s="1"/>
  <c r="S107" i="69"/>
  <c r="Q107" i="69"/>
  <c r="R107" i="69" s="1"/>
  <c r="S123" i="69"/>
  <c r="Q123" i="69"/>
  <c r="R123" i="69" s="1"/>
  <c r="S99" i="69"/>
  <c r="Q99" i="69"/>
  <c r="R99" i="69" s="1"/>
  <c r="S24" i="69"/>
  <c r="Q24" i="69"/>
  <c r="R24" i="69" s="1"/>
  <c r="Q33" i="71"/>
  <c r="R33" i="71" s="1"/>
  <c r="S33" i="71"/>
  <c r="S50" i="69"/>
  <c r="Q50" i="69"/>
  <c r="R50" i="69" s="1"/>
  <c r="Q83" i="69"/>
  <c r="R83" i="69" s="1"/>
  <c r="S83" i="69"/>
  <c r="S25" i="67"/>
  <c r="Q25" i="67"/>
  <c r="R25" i="67" s="1"/>
  <c r="S37" i="71"/>
  <c r="Q37" i="71"/>
  <c r="R37" i="71" s="1"/>
  <c r="S130" i="69"/>
  <c r="Q130" i="69"/>
  <c r="R130" i="69" s="1"/>
  <c r="S23" i="71"/>
  <c r="Q23" i="71"/>
  <c r="R23" i="71" s="1"/>
  <c r="S24" i="72"/>
  <c r="Q24" i="72"/>
  <c r="R24" i="72" s="1"/>
  <c r="Q157" i="69"/>
  <c r="R157" i="69" s="1"/>
  <c r="S157" i="69"/>
  <c r="S36" i="67"/>
  <c r="Q36" i="67"/>
  <c r="R36" i="67" s="1"/>
  <c r="S94" i="69"/>
  <c r="Q94" i="69"/>
  <c r="R94" i="69" s="1"/>
  <c r="S142" i="69"/>
  <c r="Q142" i="69"/>
  <c r="R142" i="69" s="1"/>
  <c r="S104" i="69"/>
  <c r="Q104" i="69"/>
  <c r="R104" i="69" s="1"/>
  <c r="S65" i="69"/>
  <c r="Q65" i="69"/>
  <c r="R65" i="69" s="1"/>
  <c r="S22" i="74"/>
  <c r="Q22" i="74"/>
  <c r="S34" i="69"/>
  <c r="Q34" i="69"/>
  <c r="R34" i="69" s="1"/>
  <c r="S91" i="69"/>
  <c r="Q91" i="69"/>
  <c r="R91" i="69" s="1"/>
  <c r="Q67" i="69"/>
  <c r="R67" i="69" s="1"/>
  <c r="S67" i="69"/>
  <c r="S152" i="69"/>
  <c r="Q152" i="69"/>
  <c r="R152" i="69" s="1"/>
  <c r="S30" i="69"/>
  <c r="Q30" i="69"/>
  <c r="R30" i="69" s="1"/>
  <c r="S49" i="71"/>
  <c r="Q49" i="71"/>
  <c r="R49" i="71" s="1"/>
  <c r="Q25" i="72"/>
  <c r="R25" i="72" s="1"/>
  <c r="S25" i="72"/>
  <c r="Q26" i="67"/>
  <c r="R26" i="67" s="1"/>
  <c r="S26" i="67"/>
  <c r="S106" i="69"/>
  <c r="Q106" i="69"/>
  <c r="R106" i="69" s="1"/>
  <c r="S56" i="69"/>
  <c r="Q56" i="69"/>
  <c r="R56" i="69" s="1"/>
  <c r="S70" i="69"/>
  <c r="Q70" i="69"/>
  <c r="R70" i="69" s="1"/>
  <c r="S26" i="72"/>
  <c r="Q26" i="72"/>
  <c r="R26" i="72" s="1"/>
  <c r="S22" i="62"/>
  <c r="Q21" i="62"/>
  <c r="S22" i="60"/>
  <c r="Q21" i="60"/>
  <c r="S67" i="71"/>
  <c r="Q67" i="71"/>
  <c r="R67" i="71" s="1"/>
  <c r="S149" i="69"/>
  <c r="Q149" i="69"/>
  <c r="R149" i="69" s="1"/>
  <c r="S150" i="69"/>
  <c r="Q150" i="69"/>
  <c r="R150" i="69" s="1"/>
  <c r="S40" i="71"/>
  <c r="Q40" i="71"/>
  <c r="R40" i="71" s="1"/>
  <c r="S22" i="67"/>
  <c r="Q22" i="67"/>
  <c r="S64" i="71"/>
  <c r="Q64" i="71"/>
  <c r="R64" i="71" s="1"/>
  <c r="S145" i="69"/>
  <c r="Q145" i="69"/>
  <c r="R145" i="69" s="1"/>
  <c r="L5" i="53"/>
  <c r="L3" i="53" s="1"/>
  <c r="K5" i="53"/>
  <c r="S27" i="72"/>
  <c r="Q27" i="72"/>
  <c r="R27" i="72" s="1"/>
  <c r="S119" i="69"/>
  <c r="Q119" i="69"/>
  <c r="R119" i="69" s="1"/>
  <c r="S29" i="69"/>
  <c r="Q29" i="69"/>
  <c r="R29" i="69" s="1"/>
  <c r="S139" i="69"/>
  <c r="Q139" i="69"/>
  <c r="R139" i="69" s="1"/>
  <c r="Q29" i="67"/>
  <c r="R29" i="67" s="1"/>
  <c r="S29" i="67"/>
  <c r="S141" i="69"/>
  <c r="Q141" i="69"/>
  <c r="R141" i="69" s="1"/>
  <c r="S24" i="67"/>
  <c r="Q24" i="67"/>
  <c r="R24" i="67" s="1"/>
  <c r="S133" i="69"/>
  <c r="Q133" i="69"/>
  <c r="R133" i="69" s="1"/>
  <c r="S111" i="69"/>
  <c r="Q111" i="69"/>
  <c r="R111" i="69" s="1"/>
  <c r="S77" i="69"/>
  <c r="Q77" i="69"/>
  <c r="R77" i="69" s="1"/>
  <c r="Q116" i="69"/>
  <c r="R116" i="69" s="1"/>
  <c r="S116" i="69"/>
  <c r="S28" i="71"/>
  <c r="Q28" i="71"/>
  <c r="R28" i="71" s="1"/>
  <c r="Q80" i="69"/>
  <c r="R80" i="69" s="1"/>
  <c r="S80" i="69"/>
  <c r="S33" i="69"/>
  <c r="Q33" i="69"/>
  <c r="R33" i="69" s="1"/>
  <c r="S23" i="69"/>
  <c r="Q23" i="69"/>
  <c r="R23" i="69" s="1"/>
  <c r="S122" i="69"/>
  <c r="Q122" i="69"/>
  <c r="R122" i="69" s="1"/>
  <c r="S24" i="71"/>
  <c r="Q24" i="71"/>
  <c r="R24" i="71" s="1"/>
  <c r="S151" i="69"/>
  <c r="Q151" i="69"/>
  <c r="R151" i="69" s="1"/>
  <c r="S54" i="69"/>
  <c r="Q54" i="69"/>
  <c r="R54" i="69" s="1"/>
  <c r="S108" i="69"/>
  <c r="Q108" i="69"/>
  <c r="R108" i="69" s="1"/>
  <c r="S43" i="71"/>
  <c r="Q43" i="71"/>
  <c r="R43" i="71" s="1"/>
  <c r="S56" i="71"/>
  <c r="Q56" i="71"/>
  <c r="R56" i="71" s="1"/>
  <c r="S60" i="69"/>
  <c r="Q60" i="69"/>
  <c r="R60" i="69" s="1"/>
  <c r="Q47" i="71"/>
  <c r="R47" i="71" s="1"/>
  <c r="S47" i="71"/>
  <c r="S27" i="71"/>
  <c r="Q27" i="71"/>
  <c r="R27" i="71" s="1"/>
  <c r="S127" i="69"/>
  <c r="Q127" i="69"/>
  <c r="R127" i="69" s="1"/>
  <c r="S57" i="71"/>
  <c r="Q57" i="71"/>
  <c r="R57" i="71" s="1"/>
  <c r="S59" i="71"/>
  <c r="Q59" i="71"/>
  <c r="R59" i="71" s="1"/>
  <c r="Q132" i="69"/>
  <c r="R132" i="69" s="1"/>
  <c r="S132" i="69"/>
  <c r="S66" i="71"/>
  <c r="Q66" i="71"/>
  <c r="R66" i="71" s="1"/>
  <c r="S14" i="74" l="1"/>
  <c r="S21" i="60"/>
  <c r="C6" i="3"/>
  <c r="F20" i="1"/>
  <c r="S14" i="69"/>
  <c r="R22" i="71"/>
  <c r="Q21" i="71"/>
  <c r="S14" i="71"/>
  <c r="S21" i="65"/>
  <c r="F23" i="1"/>
  <c r="C9" i="3"/>
  <c r="S21" i="64"/>
  <c r="C8" i="3"/>
  <c r="F22" i="1"/>
  <c r="H21" i="1"/>
  <c r="E7" i="3"/>
  <c r="R22" i="67"/>
  <c r="S21" i="62"/>
  <c r="C7" i="3"/>
  <c r="F21" i="1"/>
  <c r="S14" i="72"/>
  <c r="R22" i="72"/>
  <c r="Q21" i="72"/>
  <c r="S14" i="67"/>
  <c r="R22" i="74"/>
  <c r="Q21" i="74"/>
  <c r="R22" i="69"/>
  <c r="Q21" i="69"/>
  <c r="D7" i="3" l="1"/>
  <c r="H7" i="3" s="1"/>
  <c r="J7" i="3" s="1"/>
  <c r="I7" i="3" s="1"/>
  <c r="R21" i="69"/>
  <c r="G21" i="1"/>
  <c r="K21" i="1" s="1"/>
  <c r="L21" i="1" s="1"/>
  <c r="D8" i="3"/>
  <c r="H8" i="3" s="1"/>
  <c r="J8" i="3" s="1"/>
  <c r="I8" i="3" s="1"/>
  <c r="G22" i="1"/>
  <c r="K22" i="1" s="1"/>
  <c r="L22" i="1" s="1"/>
  <c r="R21" i="71"/>
  <c r="D9" i="3"/>
  <c r="H9" i="3" s="1"/>
  <c r="J9" i="3" s="1"/>
  <c r="I9" i="3" s="1"/>
  <c r="G23" i="1"/>
  <c r="K23" i="1" s="1"/>
  <c r="L23" i="1" s="1"/>
  <c r="R21" i="72"/>
  <c r="R21" i="74"/>
  <c r="D6" i="3"/>
  <c r="H6" i="3" s="1"/>
  <c r="G20" i="1"/>
  <c r="K20" i="1" s="1"/>
  <c r="L20" i="1" s="1"/>
  <c r="J6" i="3" l="1"/>
  <c r="H11" i="3"/>
  <c r="I6" i="3" l="1"/>
  <c r="I11" i="3" s="1"/>
  <c r="J11" i="3"/>
</calcChain>
</file>

<file path=xl/sharedStrings.xml><?xml version="1.0" encoding="utf-8"?>
<sst xmlns="http://schemas.openxmlformats.org/spreadsheetml/2006/main" count="3539" uniqueCount="593">
  <si>
    <t>Inhaltsverzeichnis</t>
  </si>
  <si>
    <t>1.00</t>
  </si>
  <si>
    <t>Produktiver Stundenlohn</t>
  </si>
  <si>
    <t>%</t>
  </si>
  <si>
    <t>€</t>
  </si>
  <si>
    <t>2.00</t>
  </si>
  <si>
    <t>Lohngebundene Kosten</t>
  </si>
  <si>
    <t>2.10</t>
  </si>
  <si>
    <t>Soziallöhne</t>
  </si>
  <si>
    <t>2.11</t>
  </si>
  <si>
    <t>Gesetzliche Feiertage</t>
  </si>
  <si>
    <t>2.12</t>
  </si>
  <si>
    <t>Urlaubsentgelt</t>
  </si>
  <si>
    <t>2.13</t>
  </si>
  <si>
    <t>Zusätzliches Urlaubsentgelt</t>
  </si>
  <si>
    <t>2.14</t>
  </si>
  <si>
    <t>Lohnfortzahlung im Krankheitsfall</t>
  </si>
  <si>
    <t>2.15</t>
  </si>
  <si>
    <t>Arbeitsfreistellung</t>
  </si>
  <si>
    <t>Zwischensumme Soziallöhne</t>
  </si>
  <si>
    <t>2.20</t>
  </si>
  <si>
    <t>Sozialversicherungsbeiträge auf Fertigungslohn und Soziallöhne (Arbeitgeberanteil)</t>
  </si>
  <si>
    <t>2.21</t>
  </si>
  <si>
    <t>Krankenversicherung auf Soziallöhne</t>
  </si>
  <si>
    <t>2.22</t>
  </si>
  <si>
    <t>Rentenversicherung auf Soziallöhne</t>
  </si>
  <si>
    <t>2.23</t>
  </si>
  <si>
    <t>Arbeitslosenversicherung auf Soziallöhne</t>
  </si>
  <si>
    <t>2.24</t>
  </si>
  <si>
    <t>Pflegeversicherung auf Soziallöhne</t>
  </si>
  <si>
    <t>2.25</t>
  </si>
  <si>
    <t>U2 Mutterschaftsaufwendungen auf Soziallöhne</t>
  </si>
  <si>
    <t>2.30</t>
  </si>
  <si>
    <t>2.31</t>
  </si>
  <si>
    <t>Zwischensumme Lohnkosten inkl. Sozialabgaben (Summe 2.10 - 2.31)</t>
  </si>
  <si>
    <t>Zusätzliche lohngebundene Kosten</t>
  </si>
  <si>
    <t>2.50</t>
  </si>
  <si>
    <t>Haftpflichtversicherung</t>
  </si>
  <si>
    <t>2.60</t>
  </si>
  <si>
    <t>Sonstige Personalkosten</t>
  </si>
  <si>
    <t>Summe lohngebundene Kosten (Summe 2.10 - 2.60)</t>
  </si>
  <si>
    <t>3.00</t>
  </si>
  <si>
    <t>Sonstige auftragsbezogene Kosten</t>
  </si>
  <si>
    <t>3.10</t>
  </si>
  <si>
    <t>Aufsichtslohn Vorarbeiter</t>
  </si>
  <si>
    <t>inkl. Soziale Folgekosten f. Aufsichtslohn</t>
  </si>
  <si>
    <t>3.20</t>
  </si>
  <si>
    <t>Fahrkostenzuschuss</t>
  </si>
  <si>
    <t>3.30</t>
  </si>
  <si>
    <t>Fertigungsmaterial; Maschinen, Geräte, AfA, etc.</t>
  </si>
  <si>
    <t>3.40</t>
  </si>
  <si>
    <t>Sondereinzelkosten</t>
  </si>
  <si>
    <t>Zwischensumme sonstige auftragsbezogene Kosten (Summe 3.10 - 3.40)</t>
  </si>
  <si>
    <t>4.00</t>
  </si>
  <si>
    <t>Unternehmensbezogene Kosten</t>
  </si>
  <si>
    <t>4.10</t>
  </si>
  <si>
    <t>Gehälter</t>
  </si>
  <si>
    <t>4.11</t>
  </si>
  <si>
    <t>Technische Angestellte, inkl. Lohnfolgekosten</t>
  </si>
  <si>
    <t>4.12</t>
  </si>
  <si>
    <t>4.20</t>
  </si>
  <si>
    <t>Fuhrparkkosten</t>
  </si>
  <si>
    <t>4.30</t>
  </si>
  <si>
    <t>Fertigungshilfskosten</t>
  </si>
  <si>
    <t>4.31</t>
  </si>
  <si>
    <t>Löhne Hilfsdienste, inkl. Lohnfolgekosten</t>
  </si>
  <si>
    <t>4.32</t>
  </si>
  <si>
    <t>Sonstige Betriebskosten</t>
  </si>
  <si>
    <t>4.40</t>
  </si>
  <si>
    <t>Schwerbehindertenabgabe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</si>
  <si>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</si>
  <si>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</si>
  <si>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</si>
  <si>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</si>
  <si>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</si>
  <si>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</si>
  <si>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</si>
  <si>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</si>
  <si>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</si>
  <si>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</si>
  <si>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 (Summe 1.00 - 4.80)</t>
  </si>
  <si>
    <t>6.00</t>
  </si>
  <si>
    <t>Zuschlag für Wagnis + Gewinn auf Selbstkosten</t>
  </si>
  <si>
    <t>Stundenverrechnungssatz Normalstunde</t>
  </si>
  <si>
    <t>Kalkulationszuschlag (Pos 6 - Pos 1)</t>
  </si>
  <si>
    <t>Basisdaten</t>
  </si>
  <si>
    <t>Anzahl Tage</t>
  </si>
  <si>
    <t>durchschnittliche Urlaubstage</t>
  </si>
  <si>
    <t>durchschnittliche Krankheitstage</t>
  </si>
  <si>
    <t>bezahlte Freistellungen</t>
  </si>
  <si>
    <t>Feiertage</t>
  </si>
  <si>
    <t>Bieter</t>
  </si>
  <si>
    <t>lfd. Nr.</t>
  </si>
  <si>
    <t>Etage</t>
  </si>
  <si>
    <t>Bereich</t>
  </si>
  <si>
    <t>Bodenart</t>
  </si>
  <si>
    <t>Objektname</t>
  </si>
  <si>
    <t>Raum-
nummer</t>
  </si>
  <si>
    <t>Raumbe-
zeichnung</t>
  </si>
  <si>
    <t>Reinigungs-
gruppe</t>
  </si>
  <si>
    <t>Zurück zum Inhaltsverzeichnis</t>
  </si>
  <si>
    <t>Kalkulation des Stundenverrechnungssatzes Grundreinigung</t>
  </si>
  <si>
    <t>Kalkulation des Stundenverrechnungssatzes Unterhaltsreinigung</t>
  </si>
  <si>
    <t>Bieter:</t>
  </si>
  <si>
    <t>Reini-
gungs-
intervall</t>
  </si>
  <si>
    <t>Leistungs-
werte 
(m²/h)</t>
  </si>
  <si>
    <t>aufge-
legter 
Teppich</t>
  </si>
  <si>
    <t>Anzahl 
Schmutz-
fang</t>
  </si>
  <si>
    <t>Reini-
gungs-
tage / Jahr</t>
  </si>
  <si>
    <t>Reinigungs-
fläche / Jahr 
(m²)</t>
  </si>
  <si>
    <t>SVS
(€/h)</t>
  </si>
  <si>
    <t>Reinigungs-
stunden / 
Jahr</t>
  </si>
  <si>
    <t>Preis / Jahr 
(€)</t>
  </si>
  <si>
    <t>Objekt</t>
  </si>
  <si>
    <t>Netto-Preis / Jahr (€)</t>
  </si>
  <si>
    <t>Reinigungs-
fläche 
(m²)</t>
  </si>
  <si>
    <t>Reinigungsart</t>
  </si>
  <si>
    <t>Artikel</t>
  </si>
  <si>
    <t>Die gesetzliche Unfallversicherung richtet sich nach der Gefahrenklasse, die für den Betrieb gilt.</t>
  </si>
  <si>
    <t>Gesamt</t>
  </si>
  <si>
    <t>Kaufmännische Angestellte, inkl. Lohnfolgekosten</t>
  </si>
  <si>
    <r>
      <t>Krankenversicherung auf Produktivlohn</t>
    </r>
    <r>
      <rPr>
        <vertAlign val="superscript"/>
        <sz val="8"/>
        <rFont val="Verdana"/>
        <family val="2"/>
      </rPr>
      <t>1</t>
    </r>
  </si>
  <si>
    <r>
      <t>Rentenversicherung auf Produktivlohn</t>
    </r>
    <r>
      <rPr>
        <vertAlign val="superscript"/>
        <sz val="8"/>
        <rFont val="Verdana"/>
        <family val="2"/>
      </rPr>
      <t>2</t>
    </r>
  </si>
  <si>
    <r>
      <t>Arbeitslosenversicherung auf Produktivlohn</t>
    </r>
    <r>
      <rPr>
        <vertAlign val="superscript"/>
        <sz val="8"/>
        <rFont val="Verdana"/>
        <family val="2"/>
      </rPr>
      <t>3</t>
    </r>
  </si>
  <si>
    <r>
      <t>Pflegeversicherung auf Produktivlohn</t>
    </r>
    <r>
      <rPr>
        <vertAlign val="superscript"/>
        <sz val="8"/>
        <rFont val="Verdana"/>
        <family val="2"/>
      </rPr>
      <t>4</t>
    </r>
  </si>
  <si>
    <r>
      <t>U2 Mutterschaftsaufwendungen auf Produktivlohn</t>
    </r>
    <r>
      <rPr>
        <vertAlign val="superscript"/>
        <sz val="8"/>
        <rFont val="Verdana"/>
        <family val="2"/>
      </rPr>
      <t>5</t>
    </r>
  </si>
  <si>
    <r>
      <t>Gesetzliche Unfallversicherung</t>
    </r>
    <r>
      <rPr>
        <vertAlign val="superscript"/>
        <sz val="8"/>
        <rFont val="Verdana"/>
        <family val="2"/>
      </rPr>
      <t>6</t>
    </r>
  </si>
  <si>
    <r>
      <t>Insolvenzgeldumlage</t>
    </r>
    <r>
      <rPr>
        <vertAlign val="superscript"/>
        <sz val="8"/>
        <rFont val="Verdana"/>
        <family val="2"/>
      </rPr>
      <t>7</t>
    </r>
  </si>
  <si>
    <t xml:space="preserve">Krankenversicherung (gesetzlicher Arbeitgeberanteil): </t>
  </si>
  <si>
    <t xml:space="preserve">Rentenversicherung (gesetzlicher Arbeitgeberanteil): </t>
  </si>
  <si>
    <t xml:space="preserve">Arbeitslosenversicherung (gesetzlicher Arbeitgeberanteil): </t>
  </si>
  <si>
    <t xml:space="preserve">Pflegeversicherung (gesetzlicher Arbeitgeberanteil alle Bundesländer außer Sachsen: hier 0,5% Abzug): </t>
  </si>
  <si>
    <t>Insolvenzgeldumlage (gesetzlicher Arbeitgeberanteil - trägt der Arbeitgeber allein):</t>
  </si>
  <si>
    <t>Bundesland</t>
  </si>
  <si>
    <t>Preis für eine Reinigung 
(€)</t>
  </si>
  <si>
    <t>Reini-gungen / Jahr</t>
  </si>
  <si>
    <t>Diese Position wird von jeder Krankenkasse separat berechnet.</t>
  </si>
  <si>
    <t>M2</t>
  </si>
  <si>
    <t>M1</t>
  </si>
  <si>
    <t>J6</t>
  </si>
  <si>
    <t>J5</t>
  </si>
  <si>
    <t>J4</t>
  </si>
  <si>
    <t>J3</t>
  </si>
  <si>
    <t>J2</t>
  </si>
  <si>
    <t>J1</t>
  </si>
  <si>
    <t>J0,5</t>
  </si>
  <si>
    <t>Objektart</t>
  </si>
  <si>
    <t>nB</t>
  </si>
  <si>
    <t>Reinigungs-intervall</t>
  </si>
  <si>
    <t>Anzahl Räume</t>
  </si>
  <si>
    <t>Reinigungen / Jahr</t>
  </si>
  <si>
    <t>RG-Stunden / Jahr (h)</t>
  </si>
  <si>
    <t>Preis für 1 Reinigung (€)</t>
  </si>
  <si>
    <t>Stunden für 1 Reinigung (h)</t>
  </si>
  <si>
    <t>Einheit</t>
  </si>
  <si>
    <t>Reinigungstage</t>
  </si>
  <si>
    <t>Nettopreis</t>
  </si>
  <si>
    <t>Bruttopreis</t>
  </si>
  <si>
    <t>Kalkulation</t>
  </si>
  <si>
    <t>Unterhaltsreinigung</t>
  </si>
  <si>
    <t>Straße</t>
  </si>
  <si>
    <t>PLZ</t>
  </si>
  <si>
    <t>Ort</t>
  </si>
  <si>
    <t xml:space="preserve">Leistungs-werte 
(m²/h) </t>
  </si>
  <si>
    <t>Jahres- 
reinigungs-
fläche (m²)</t>
  </si>
  <si>
    <t>Lage</t>
  </si>
  <si>
    <t>Grundreinigung</t>
  </si>
  <si>
    <t>Vertragsbeginn</t>
  </si>
  <si>
    <t>Vertragsende</t>
  </si>
  <si>
    <t>Verlängerung</t>
  </si>
  <si>
    <t>max. Laufzeit bis</t>
  </si>
  <si>
    <t>Reinigungs-gruppe 
(RG)</t>
  </si>
  <si>
    <t>Unternehmen</t>
  </si>
  <si>
    <t>Telefon</t>
  </si>
  <si>
    <t>Fax</t>
  </si>
  <si>
    <t>Ansprechpartner</t>
  </si>
  <si>
    <t>E-Mailadresse</t>
  </si>
  <si>
    <t>Internetadresse</t>
  </si>
  <si>
    <t>Kurzname</t>
  </si>
  <si>
    <t>Gebäude</t>
  </si>
  <si>
    <t>Gebäudeteil</t>
  </si>
  <si>
    <t>Los</t>
  </si>
  <si>
    <t>Stunden für eine Reinigung (h)</t>
  </si>
  <si>
    <t>Anzahl 
der Räume</t>
  </si>
  <si>
    <r>
      <t xml:space="preserve">Kalkulation </t>
    </r>
    <r>
      <rPr>
        <b/>
        <sz val="8"/>
        <rFont val="Verdana"/>
        <family val="2"/>
      </rPr>
      <t>Teilreinigung</t>
    </r>
    <r>
      <rPr>
        <sz val="8"/>
        <rFont val="Verdana"/>
        <family val="2"/>
      </rPr>
      <t xml:space="preserve"> Gesamt</t>
    </r>
  </si>
  <si>
    <r>
      <rPr>
        <b/>
        <sz val="8"/>
        <rFont val="Verdana"/>
        <family val="2"/>
      </rPr>
      <t>Reinigungstage</t>
    </r>
    <r>
      <rPr>
        <sz val="8"/>
        <rFont val="Verdana"/>
        <family val="2"/>
      </rPr>
      <t xml:space="preserve"> pro Objekt und Reinigungsart</t>
    </r>
  </si>
  <si>
    <r>
      <rPr>
        <b/>
        <sz val="8"/>
        <rFont val="Verdana"/>
        <family val="2"/>
      </rPr>
      <t>Preisübersicht</t>
    </r>
    <r>
      <rPr>
        <sz val="8"/>
        <rFont val="Verdana"/>
        <family val="2"/>
      </rPr>
      <t xml:space="preserve"> pro Jahr (in €)</t>
    </r>
  </si>
  <si>
    <r>
      <t xml:space="preserve">Kalkulation </t>
    </r>
    <r>
      <rPr>
        <b/>
        <sz val="8"/>
        <rFont val="Verdana"/>
        <family val="2"/>
      </rPr>
      <t>Rohrreinigung und Balken</t>
    </r>
    <r>
      <rPr>
        <sz val="8"/>
        <rFont val="Verdana"/>
        <family val="2"/>
      </rPr>
      <t xml:space="preserve"> (Grundreinigung)</t>
    </r>
  </si>
  <si>
    <t>Reinigungen/
Jahr</t>
  </si>
  <si>
    <t>Reinigungslänge/
Jahr
(lfm)</t>
  </si>
  <si>
    <t>Steiger-
kosten
(€)</t>
  </si>
  <si>
    <t>Leistung
(lfm/h)</t>
  </si>
  <si>
    <t>SVS 
(€/h)</t>
  </si>
  <si>
    <t>Netto-Preis/
Jahr 
(€)</t>
  </si>
  <si>
    <t>Anzahl / 
Jahr</t>
  </si>
  <si>
    <t>Preis pro 
Einheit (€)</t>
  </si>
  <si>
    <t>Netto-Preis / 
Jahr (€)</t>
  </si>
  <si>
    <t>Reinigung von</t>
  </si>
  <si>
    <t>maximale Reinigungstage
im Jahr für
Reinigungsintervall 5</t>
  </si>
  <si>
    <t>Reinigungsintervall</t>
  </si>
  <si>
    <t>Ausfüllhinweise 
(nur 1 Häkchen setzen):</t>
  </si>
  <si>
    <r>
      <t xml:space="preserve">Vorgaben
</t>
    </r>
    <r>
      <rPr>
        <sz val="8"/>
        <rFont val="Verdana"/>
        <family val="2"/>
      </rPr>
      <t>Die Vorgaben bei den Sozialversicherungsbeiträgen entsprechen den gesetzlichen Mindestangaben.</t>
    </r>
  </si>
  <si>
    <t>Länge 
(lfm)</t>
  </si>
  <si>
    <t>PvH AL1</t>
  </si>
  <si>
    <t>Los 2</t>
  </si>
  <si>
    <t>Prinz-von-Homburg-Schule</t>
  </si>
  <si>
    <t>Sportkomplex (AL 1 + 2, Kochlehrküche)</t>
  </si>
  <si>
    <t>Lindenstraße 6</t>
  </si>
  <si>
    <t>16845</t>
  </si>
  <si>
    <t>Neustadt (Dosse)</t>
  </si>
  <si>
    <t>PvH FöS Hort</t>
  </si>
  <si>
    <t>PvH grSchulgeb</t>
  </si>
  <si>
    <t>großes Schulgebäude</t>
  </si>
  <si>
    <t>PvH kl GS Hort</t>
  </si>
  <si>
    <t>PvH SH</t>
  </si>
  <si>
    <t>Sporthalle</t>
  </si>
  <si>
    <t>PvH soz Gruppe</t>
  </si>
  <si>
    <t>Räume soziale Gruppe</t>
  </si>
  <si>
    <t>PvH WAT</t>
  </si>
  <si>
    <t>WAT Gebäude</t>
  </si>
  <si>
    <t>PvH Speiseeinr</t>
  </si>
  <si>
    <t>Kalkulation Verbrauchsmaterial</t>
  </si>
  <si>
    <t>1</t>
  </si>
  <si>
    <t>Windfang</t>
  </si>
  <si>
    <t>Fliesen</t>
  </si>
  <si>
    <t>2</t>
  </si>
  <si>
    <t>Flur</t>
  </si>
  <si>
    <t>Linoleum</t>
  </si>
  <si>
    <t>3</t>
  </si>
  <si>
    <t>Arbeitslehre 1</t>
  </si>
  <si>
    <t>4</t>
  </si>
  <si>
    <t>Arbeitslehre 2</t>
  </si>
  <si>
    <t>27</t>
  </si>
  <si>
    <t>Vorbereitung</t>
  </si>
  <si>
    <t>5</t>
  </si>
  <si>
    <t>WC Mädchen</t>
  </si>
  <si>
    <t>6</t>
  </si>
  <si>
    <t>WC Jungen</t>
  </si>
  <si>
    <t>28</t>
  </si>
  <si>
    <t>WC Barrierefrei</t>
  </si>
  <si>
    <t>7</t>
  </si>
  <si>
    <t>Reinigungsgeräte</t>
  </si>
  <si>
    <t>Beton</t>
  </si>
  <si>
    <t>8</t>
  </si>
  <si>
    <t>Hauswirtschaftslehre - Küche</t>
  </si>
  <si>
    <t>9</t>
  </si>
  <si>
    <t>Essenraum</t>
  </si>
  <si>
    <t>18</t>
  </si>
  <si>
    <t>Musik-
schule</t>
  </si>
  <si>
    <t>Windfang Turnhalle</t>
  </si>
  <si>
    <t>19</t>
  </si>
  <si>
    <t>Durchgang-Verbinungsgang</t>
  </si>
  <si>
    <t>20</t>
  </si>
  <si>
    <t>Musikschule</t>
  </si>
  <si>
    <t>Textil</t>
  </si>
  <si>
    <t>21</t>
  </si>
  <si>
    <t>Musikschule Abstellraum</t>
  </si>
  <si>
    <t>22</t>
  </si>
  <si>
    <t>23</t>
  </si>
  <si>
    <t>24</t>
  </si>
  <si>
    <t>Elektroverteilung</t>
  </si>
  <si>
    <t>25</t>
  </si>
  <si>
    <t>26</t>
  </si>
  <si>
    <t>Außentreppen</t>
  </si>
  <si>
    <t>Verkehr</t>
  </si>
  <si>
    <t>Unterricht</t>
  </si>
  <si>
    <t>Funktion</t>
  </si>
  <si>
    <t>Sanitär</t>
  </si>
  <si>
    <t>Technik</t>
  </si>
  <si>
    <t>Versorgung</t>
  </si>
  <si>
    <t>Treppe</t>
  </si>
  <si>
    <t>EG</t>
  </si>
  <si>
    <t>Gruppe</t>
  </si>
  <si>
    <t>Büro</t>
  </si>
  <si>
    <t>II. 0.01</t>
  </si>
  <si>
    <t>Schule</t>
  </si>
  <si>
    <t>Lehrerzimmer I</t>
  </si>
  <si>
    <t>Nadelfilz</t>
  </si>
  <si>
    <t>II. 0.02</t>
  </si>
  <si>
    <t>Lehrerzimmer II</t>
  </si>
  <si>
    <t>II. 0.03</t>
  </si>
  <si>
    <t>Teeküche</t>
  </si>
  <si>
    <t>II. 0.04</t>
  </si>
  <si>
    <t>Besprechungsraum</t>
  </si>
  <si>
    <t>II. 0.05</t>
  </si>
  <si>
    <t>II. 0.06</t>
  </si>
  <si>
    <t>WC Lehrerinnen</t>
  </si>
  <si>
    <t>Fliese</t>
  </si>
  <si>
    <t>II. 0.07</t>
  </si>
  <si>
    <t>WC Lehrer</t>
  </si>
  <si>
    <t>II. 0.08</t>
  </si>
  <si>
    <t>Eingangsbereich</t>
  </si>
  <si>
    <t>II. 0.08.1</t>
  </si>
  <si>
    <t>Treppenhaus 1</t>
  </si>
  <si>
    <t>II. 0.09</t>
  </si>
  <si>
    <t>Schulleiter</t>
  </si>
  <si>
    <t>II. 0.10</t>
  </si>
  <si>
    <t>II. 0.11</t>
  </si>
  <si>
    <t>Sekretariat</t>
  </si>
  <si>
    <t>II. 0.12.1</t>
  </si>
  <si>
    <t>Gruppenbüro</t>
  </si>
  <si>
    <t>II. 0.12.2</t>
  </si>
  <si>
    <t>II. 0.13</t>
  </si>
  <si>
    <t>1. Hilfe</t>
  </si>
  <si>
    <t>II. 0.14</t>
  </si>
  <si>
    <t>Schülercafe</t>
  </si>
  <si>
    <t>II. 0.15</t>
  </si>
  <si>
    <t>Schülercafe Ausgang 1</t>
  </si>
  <si>
    <t>II. 0.16</t>
  </si>
  <si>
    <t>II. 0.17</t>
  </si>
  <si>
    <t>Aula</t>
  </si>
  <si>
    <t>II. 0.17.1</t>
  </si>
  <si>
    <t>Lager</t>
  </si>
  <si>
    <t>II. 0.18</t>
  </si>
  <si>
    <t>Halle 1</t>
  </si>
  <si>
    <t>I. 0.19</t>
  </si>
  <si>
    <t>Putzmittelraum</t>
  </si>
  <si>
    <t>I. 0.20</t>
  </si>
  <si>
    <t>I. 0.21</t>
  </si>
  <si>
    <t>I. 0.22</t>
  </si>
  <si>
    <t>Ausgang 2</t>
  </si>
  <si>
    <t>I. 0.23</t>
  </si>
  <si>
    <t>Klassenraum</t>
  </si>
  <si>
    <t>I. 0.24</t>
  </si>
  <si>
    <t>I. 0.25</t>
  </si>
  <si>
    <t>Ausgang 3</t>
  </si>
  <si>
    <t>I. 0.26</t>
  </si>
  <si>
    <t>I. 0.28</t>
  </si>
  <si>
    <t>Halle 2</t>
  </si>
  <si>
    <t>I. 0.29</t>
  </si>
  <si>
    <t>Klassenraum Grundschule</t>
  </si>
  <si>
    <t>I. 0.30</t>
  </si>
  <si>
    <t>I. 0.31</t>
  </si>
  <si>
    <t>I. 0.32</t>
  </si>
  <si>
    <t>I. 0.33.1</t>
  </si>
  <si>
    <t>I. 0.33.2</t>
  </si>
  <si>
    <t>I. 0.34</t>
  </si>
  <si>
    <t>Vorzone Grundschule</t>
  </si>
  <si>
    <t>I. 0.35</t>
  </si>
  <si>
    <t>Kunst III</t>
  </si>
  <si>
    <t>I. 0.36</t>
  </si>
  <si>
    <t>Treppenhaus 3</t>
  </si>
  <si>
    <t>I. 0.38</t>
  </si>
  <si>
    <t>Kunst II</t>
  </si>
  <si>
    <t>I. 0.39</t>
  </si>
  <si>
    <t>Kunst I</t>
  </si>
  <si>
    <t>I. 0.40</t>
  </si>
  <si>
    <t>Treppenhaus 2</t>
  </si>
  <si>
    <t>I. 0.41</t>
  </si>
  <si>
    <t>Bibliothek</t>
  </si>
  <si>
    <t>II. 0.42</t>
  </si>
  <si>
    <t>II. 0.43</t>
  </si>
  <si>
    <t>II. 0.44</t>
  </si>
  <si>
    <t>Musik I</t>
  </si>
  <si>
    <t>II. 1.01</t>
  </si>
  <si>
    <t>1. OG</t>
  </si>
  <si>
    <t xml:space="preserve">Musik II </t>
  </si>
  <si>
    <t>II. 1.02</t>
  </si>
  <si>
    <t>Musik III</t>
  </si>
  <si>
    <t>II. 1.03</t>
  </si>
  <si>
    <t>II. 1.04</t>
  </si>
  <si>
    <t xml:space="preserve">Vorbereitung Musik </t>
  </si>
  <si>
    <t>II. 1.05</t>
  </si>
  <si>
    <t>individ. Lernen</t>
  </si>
  <si>
    <t>II. 1.07</t>
  </si>
  <si>
    <t>II. 1.08</t>
  </si>
  <si>
    <t xml:space="preserve">Flur </t>
  </si>
  <si>
    <t>II. 1.08.1</t>
  </si>
  <si>
    <t>II. 1.09</t>
  </si>
  <si>
    <t xml:space="preserve">WC Jungen </t>
  </si>
  <si>
    <t>II. 1.10</t>
  </si>
  <si>
    <t>II. 1.11</t>
  </si>
  <si>
    <t>II. 1.12</t>
  </si>
  <si>
    <t>II. 1.13</t>
  </si>
  <si>
    <t>Diff. R.</t>
  </si>
  <si>
    <t>II. 1.14</t>
  </si>
  <si>
    <t>II. 1.15</t>
  </si>
  <si>
    <t>II. 1.16</t>
  </si>
  <si>
    <t>II. 1.18</t>
  </si>
  <si>
    <t>II. 1.18.1</t>
  </si>
  <si>
    <t>I. 1.19</t>
  </si>
  <si>
    <t>I. 1.20</t>
  </si>
  <si>
    <t>I. 1.21</t>
  </si>
  <si>
    <t>I. 1.22</t>
  </si>
  <si>
    <t>Vorraum WC</t>
  </si>
  <si>
    <t>I. 1.23</t>
  </si>
  <si>
    <t>I. 1.24</t>
  </si>
  <si>
    <t>I. 1.25</t>
  </si>
  <si>
    <t>I. 1.26</t>
  </si>
  <si>
    <t>soziale Arbeit</t>
  </si>
  <si>
    <t>I. 1.27</t>
  </si>
  <si>
    <t>I. 1.28</t>
  </si>
  <si>
    <t>I. 1.28.1</t>
  </si>
  <si>
    <t>I. 1.29</t>
  </si>
  <si>
    <t>I. 1.30</t>
  </si>
  <si>
    <t>I. 1.31</t>
  </si>
  <si>
    <t>I. 1.32</t>
  </si>
  <si>
    <t>I. 1.33</t>
  </si>
  <si>
    <t>I. 1.34</t>
  </si>
  <si>
    <t>I. 1.35</t>
  </si>
  <si>
    <t>Informatik II</t>
  </si>
  <si>
    <t>I. 1.36</t>
  </si>
  <si>
    <t>I. 1.37</t>
  </si>
  <si>
    <t>Serverraum</t>
  </si>
  <si>
    <t>I. 1.38</t>
  </si>
  <si>
    <t>Informatik I</t>
  </si>
  <si>
    <t>I. 1.39</t>
  </si>
  <si>
    <t>NaWi</t>
  </si>
  <si>
    <t>I. 1.40</t>
  </si>
  <si>
    <t>I. 1.41</t>
  </si>
  <si>
    <t>Vorbereitung Physik</t>
  </si>
  <si>
    <t>I. 1.42</t>
  </si>
  <si>
    <t>Physik III</t>
  </si>
  <si>
    <t>II. 1.43</t>
  </si>
  <si>
    <t>Physik II</t>
  </si>
  <si>
    <t>II. 1.44</t>
  </si>
  <si>
    <t>Physik Vorbereitung I</t>
  </si>
  <si>
    <t>II. 1.45</t>
  </si>
  <si>
    <t xml:space="preserve">Physik I </t>
  </si>
  <si>
    <t>II. 1.08.2</t>
  </si>
  <si>
    <t>Galerie</t>
  </si>
  <si>
    <t>II. 2.01</t>
  </si>
  <si>
    <t>2. OG</t>
  </si>
  <si>
    <t>Bewegungsraum</t>
  </si>
  <si>
    <t>II. 2.02</t>
  </si>
  <si>
    <t>Spieleraum</t>
  </si>
  <si>
    <t>II. 2.02.1</t>
  </si>
  <si>
    <t>Verkleidezimmer</t>
  </si>
  <si>
    <t>II. 2.03</t>
  </si>
  <si>
    <t>Kreativraum</t>
  </si>
  <si>
    <t>II. 2.04</t>
  </si>
  <si>
    <t>Küche</t>
  </si>
  <si>
    <t>II. 2.05</t>
  </si>
  <si>
    <t>Büro/ Hortleitung</t>
  </si>
  <si>
    <t>II. 2.06</t>
  </si>
  <si>
    <t>Ruheraum</t>
  </si>
  <si>
    <t>II. 2.07</t>
  </si>
  <si>
    <t>II. 2.08</t>
  </si>
  <si>
    <t>II. 2.08.1</t>
  </si>
  <si>
    <t>II. 2.09</t>
  </si>
  <si>
    <t>II. 2.10</t>
  </si>
  <si>
    <t>Erzieherraum</t>
  </si>
  <si>
    <t>II. 2.11</t>
  </si>
  <si>
    <t>II. 2.12</t>
  </si>
  <si>
    <t>II. 2.13</t>
  </si>
  <si>
    <t xml:space="preserve">Büro </t>
  </si>
  <si>
    <t>II. 2.14</t>
  </si>
  <si>
    <t>II. 2.15</t>
  </si>
  <si>
    <t>Diff. Raum</t>
  </si>
  <si>
    <t>II. 2.16</t>
  </si>
  <si>
    <t>II. 2.18</t>
  </si>
  <si>
    <t>II. 2.18.1</t>
  </si>
  <si>
    <t>I. 2.19</t>
  </si>
  <si>
    <t>I. 2.20</t>
  </si>
  <si>
    <t>I. 2.21</t>
  </si>
  <si>
    <t>I. 2.22</t>
  </si>
  <si>
    <t>I. 2.23</t>
  </si>
  <si>
    <t>I. 2.24</t>
  </si>
  <si>
    <t>I. 2.25</t>
  </si>
  <si>
    <t>I. 2.26</t>
  </si>
  <si>
    <t>Diff.Raum</t>
  </si>
  <si>
    <t>I. 2.27</t>
  </si>
  <si>
    <t>I. 2.28</t>
  </si>
  <si>
    <t>I. 2.28.1</t>
  </si>
  <si>
    <t>Flur Halle 2</t>
  </si>
  <si>
    <t>I. 2.29</t>
  </si>
  <si>
    <t>I. 2.30</t>
  </si>
  <si>
    <t>I. 2.31</t>
  </si>
  <si>
    <t>I. 2.32</t>
  </si>
  <si>
    <t>I. 2.33</t>
  </si>
  <si>
    <t>I. 2.34</t>
  </si>
  <si>
    <t>I. 2.35</t>
  </si>
  <si>
    <t>Chemie III</t>
  </si>
  <si>
    <t>I. 2.36</t>
  </si>
  <si>
    <t>I. 2.37</t>
  </si>
  <si>
    <t>Chemie Vorbereitung</t>
  </si>
  <si>
    <t>I. 2.38</t>
  </si>
  <si>
    <t>Chemie II</t>
  </si>
  <si>
    <t>I. 2.39</t>
  </si>
  <si>
    <t>Chemie I</t>
  </si>
  <si>
    <t>I. 2.40</t>
  </si>
  <si>
    <t>I. 2.41</t>
  </si>
  <si>
    <t>I. 2.42</t>
  </si>
  <si>
    <t>Biologie III</t>
  </si>
  <si>
    <t>II. 2.43</t>
  </si>
  <si>
    <t>Biologie II</t>
  </si>
  <si>
    <t>II. 2.44</t>
  </si>
  <si>
    <t>Biologie Vorbereitung</t>
  </si>
  <si>
    <t>II. 2.45</t>
  </si>
  <si>
    <t>Biologie I</t>
  </si>
  <si>
    <t xml:space="preserve">II. Dachgarten </t>
  </si>
  <si>
    <t>Dachgarten</t>
  </si>
  <si>
    <t>Dach</t>
  </si>
  <si>
    <t>Gruppenraum</t>
  </si>
  <si>
    <t>WC</t>
  </si>
  <si>
    <t>Windfang 1</t>
  </si>
  <si>
    <t>Umkleideraum 1.1</t>
  </si>
  <si>
    <t>Umkleide Lehrer</t>
  </si>
  <si>
    <t>Haustechnik</t>
  </si>
  <si>
    <t>Waschplatz 1.1</t>
  </si>
  <si>
    <t>WC 1.1</t>
  </si>
  <si>
    <t>Duschplatz 1</t>
  </si>
  <si>
    <t>Waschplatz 1.2</t>
  </si>
  <si>
    <t>WC 1.2</t>
  </si>
  <si>
    <t>Umkleide 1.2</t>
  </si>
  <si>
    <t>Turnschuhgang</t>
  </si>
  <si>
    <t>Windfang 2</t>
  </si>
  <si>
    <t>Umkleideraum 2.1</t>
  </si>
  <si>
    <t>Waschplatz 2.1</t>
  </si>
  <si>
    <t>WC 2.1</t>
  </si>
  <si>
    <t>Duschplatz 2</t>
  </si>
  <si>
    <t>Waschplatz 2.2</t>
  </si>
  <si>
    <t>WC 2.2</t>
  </si>
  <si>
    <t>Umkleide 2.2</t>
  </si>
  <si>
    <t>Windfang 3</t>
  </si>
  <si>
    <t>Umkleideraum 3.1</t>
  </si>
  <si>
    <t>Waschplatz 3.1</t>
  </si>
  <si>
    <t>WC 3.1</t>
  </si>
  <si>
    <t>Duschplatz 3</t>
  </si>
  <si>
    <t>Waschplatz 3.2</t>
  </si>
  <si>
    <t>WC 3.2</t>
  </si>
  <si>
    <t>Umkleide 3.2</t>
  </si>
  <si>
    <t>Windfang 4</t>
  </si>
  <si>
    <t>Umkleideraum 4.1</t>
  </si>
  <si>
    <t>Waschplatz 4.1</t>
  </si>
  <si>
    <t>WC 4.1</t>
  </si>
  <si>
    <t>Duschplatz 4</t>
  </si>
  <si>
    <t>Waschplatz 4.2</t>
  </si>
  <si>
    <t>WC 4.2</t>
  </si>
  <si>
    <t>Umkleide 4.2</t>
  </si>
  <si>
    <t>Besuchereingang Flur</t>
  </si>
  <si>
    <t>Vorflur Sporthalle</t>
  </si>
  <si>
    <t>2. Vorflur</t>
  </si>
  <si>
    <t>Zuschauertribüne</t>
  </si>
  <si>
    <t>Geräteraum Lehrer</t>
  </si>
  <si>
    <t>elektr. Betriebsraum</t>
  </si>
  <si>
    <t>Geräteraum 1</t>
  </si>
  <si>
    <t>Geräteraum 2</t>
  </si>
  <si>
    <t>Geräteraum 3</t>
  </si>
  <si>
    <t>Geräteraum 4</t>
  </si>
  <si>
    <t>alle Außentreppen</t>
  </si>
  <si>
    <t>Umkleide</t>
  </si>
  <si>
    <t>Sport</t>
  </si>
  <si>
    <t>OG</t>
  </si>
  <si>
    <t>PVC</t>
  </si>
  <si>
    <t>WC/Bad</t>
  </si>
  <si>
    <t>Eingangsflur/Treppe</t>
  </si>
  <si>
    <t>Terrazzo/Holz</t>
  </si>
  <si>
    <t>Bereich vor Eingangstür</t>
  </si>
  <si>
    <t>Terrazzo/Beton</t>
  </si>
  <si>
    <t>Werkenraum</t>
  </si>
  <si>
    <t xml:space="preserve">Beton gestr. </t>
  </si>
  <si>
    <t>Konstruktion - Treppenhaus EG - 2. OG</t>
  </si>
  <si>
    <t>WC-Papier (2-lagig)</t>
  </si>
  <si>
    <t>Rollen</t>
  </si>
  <si>
    <t>Handtuchpapier 25x23 cm;
hell, 1-lagig,
1 Karton=10.000 Stück</t>
  </si>
  <si>
    <t>Karton</t>
  </si>
  <si>
    <t>Handseife 10 Liter</t>
  </si>
  <si>
    <t>UnterhaltsRG</t>
  </si>
  <si>
    <t>Reinigungs-häufigkeit</t>
  </si>
  <si>
    <t>GrundRG</t>
  </si>
  <si>
    <t>Rohre u Balken</t>
  </si>
  <si>
    <t>UnterhaltsRG (TeilRG)</t>
  </si>
  <si>
    <t>Verbrauch</t>
  </si>
  <si>
    <t>Preiszusammenstellung Los 2</t>
  </si>
  <si>
    <t>Jahrespreis in €</t>
  </si>
  <si>
    <t>MwSt.</t>
  </si>
  <si>
    <t>Jahrespreis Reinigung</t>
  </si>
  <si>
    <t>Preisübersicht</t>
  </si>
  <si>
    <t>SVS UnterhaltsRG</t>
  </si>
  <si>
    <t>SVS GrundRG</t>
  </si>
  <si>
    <t>Wertungspreis (netto) in €</t>
  </si>
  <si>
    <t>Wertungspreis (brutto) in €</t>
  </si>
  <si>
    <t>Brandenburg</t>
  </si>
  <si>
    <t xml:space="preserve">Im Preisblatt ist eine Eingabe von Steigerkosten/Kosten für Hubbühne zwingend. </t>
  </si>
  <si>
    <t>Wenn keine Steigerkosten/Kosten für Hubbühne anfallen, ist die Position mit 0 eindeutig zu kennzeichnen.</t>
  </si>
  <si>
    <t>Eine unterlassene Angabe führt gemäß § 13 Nr. 3 VOL/A bzw. § 38 Abs. 10 UVgO bzw. § 53 Abs. 7 VgV zum Ausschluss.</t>
  </si>
  <si>
    <t>Reinigungstage 
 maximal
 (UnterhaltsRG)</t>
  </si>
  <si>
    <t>Beton / Knochensteine</t>
  </si>
  <si>
    <t>Schülercafe/Küche/
Vorbereitung</t>
  </si>
  <si>
    <t>Vorbereitung/Musik/
Lager</t>
  </si>
  <si>
    <t>Förder-
schule</t>
  </si>
  <si>
    <t>2026
in %</t>
  </si>
  <si>
    <t>Euroflasche 1000 ml</t>
  </si>
  <si>
    <t>Kanister 10 l</t>
  </si>
  <si>
    <t>Handdesinfektion</t>
  </si>
  <si>
    <t>Los 1</t>
  </si>
  <si>
    <t>PvH FÖS Hort</t>
  </si>
  <si>
    <t>Los 1 und 2</t>
  </si>
  <si>
    <t>Los2</t>
  </si>
  <si>
    <t xml:space="preserve">Garderobe, Catering </t>
  </si>
  <si>
    <t xml:space="preserve">Bälle, Wäsche </t>
  </si>
  <si>
    <t>Parkett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</si>
</sst>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 _€_-;\-* #,##0.00\ _€_-;_-* &quot;-&quot;??\ _€_-;_-@_-"/>
    <numFmt numFmtId="165" formatCode="_-* #,##0.00\ [$€]_-;\-* #,##0.00\ [$€]_-;_-* &quot;-&quot;??\ [$€]_-;_-@_-"/>
    <numFmt numFmtId="166" formatCode="0.000"/>
    <numFmt numFmtId="167" formatCode="#,##0.000"/>
    <numFmt numFmtId="168" formatCode="&quot;Bitte &quot;0&quot; Werte eintragen.&quot;"/>
  </numFmts>
  <fonts count="47" x14ac:knownFonts="1">
    <font>
      <sz val="10"/>
      <name val="Arial"/>
    </font>
    <font>
      <sz val="10"/>
      <name val="Arial"/>
      <family val="2"/>
    </font>
    <font>
      <sz val="10"/>
      <name val="Verdana"/>
      <family val="2"/>
    </font>
    <font>
      <sz val="8"/>
      <name val="Arial"/>
      <family val="2"/>
    </font>
    <font>
      <sz val="8"/>
      <name val="Verdana"/>
      <family val="2"/>
    </font>
    <font>
      <sz val="10"/>
      <name val="Arial"/>
      <family val="2"/>
    </font>
    <font>
      <i/>
      <sz val="8"/>
      <name val="Verdana"/>
      <family val="2"/>
    </font>
    <font>
      <u/>
      <sz val="10"/>
      <color indexed="12"/>
      <name val="Arial"/>
      <family val="2"/>
    </font>
    <font>
      <b/>
      <sz val="8"/>
      <name val="Verdana"/>
      <family val="2"/>
    </font>
    <font>
      <sz val="10"/>
      <name val="Arial"/>
      <family val="2"/>
    </font>
    <font>
      <u/>
      <sz val="8"/>
      <color indexed="12"/>
      <name val="Verdana"/>
      <family val="2"/>
    </font>
    <font>
      <b/>
      <sz val="18"/>
      <color indexed="56"/>
      <name val="Cambri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12"/>
      <name val="Arial"/>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Verdana"/>
      <family val="2"/>
    </font>
    <font>
      <sz val="8"/>
      <color indexed="10"/>
      <name val="Verdana"/>
      <family val="2"/>
    </font>
    <font>
      <vertAlign val="superscript"/>
      <sz val="8"/>
      <name val="Verdana"/>
      <family val="2"/>
    </font>
    <font>
      <b/>
      <sz val="10"/>
      <name val="Verdana"/>
      <family val="2"/>
    </font>
    <font>
      <sz val="8"/>
      <color indexed="8"/>
      <name val="Verdana"/>
      <family val="2"/>
    </font>
    <font>
      <sz val="8"/>
      <color rgb="FFFF0000"/>
      <name val="Verdana"/>
      <family val="2"/>
    </font>
    <font>
      <sz val="11"/>
      <color rgb="FF222222"/>
      <name val="Verdana"/>
      <family val="2"/>
    </font>
    <font>
      <sz val="8"/>
      <color theme="0"/>
      <name val="Verdana"/>
      <family val="2"/>
    </font>
    <font>
      <u/>
      <sz val="10"/>
      <color theme="10"/>
      <name val="Verdana"/>
      <family val="2"/>
    </font>
    <font>
      <sz val="10"/>
      <color theme="1"/>
      <name val="Verdana"/>
      <family val="2"/>
    </font>
    <font>
      <sz val="8"/>
      <color theme="0" tint="-0.14999847407452621"/>
      <name val="Verdana"/>
      <family val="2"/>
    </font>
    <font>
      <sz val="8"/>
      <color rgb="FF000000"/>
      <name val="Segoe UI"/>
      <family val="2"/>
    </font>
    <font>
      <sz val="8"/>
      <color rgb="FF000000"/>
      <name val="Verdana"/>
      <family val="2"/>
    </font>
    <font>
      <sz val="8"/>
      <color indexed="55"/>
      <name val="Verdana"/>
      <family val="2"/>
    </font>
    <font>
      <sz val="8"/>
      <color rgb="FF9C0000"/>
      <name val="Verdana"/>
      <family val="2"/>
    </font>
    <font>
      <sz val="8"/>
      <color indexed="9"/>
      <name val="Verdana"/>
      <family val="2"/>
    </font>
    <font>
      <sz val="16"/>
      <name val="Verdana"/>
      <family val="2"/>
    </font>
    <font>
      <u/>
      <sz val="8"/>
      <color theme="1"/>
      <name val="Verdan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rgb="FFFFFF00"/>
        <bgColor indexed="64"/>
      </patternFill>
    </fill>
    <fill>
      <patternFill patternType="solid">
        <fgColor rgb="FFD2E6C4"/>
        <bgColor indexed="64"/>
      </patternFill>
    </fill>
    <fill>
      <patternFill patternType="solid">
        <fgColor rgb="FFFFC7CE"/>
        <bgColor indexed="64"/>
      </patternFill>
    </fill>
    <fill>
      <patternFill patternType="lightGray"/>
    </fill>
    <fill>
      <patternFill patternType="solid">
        <fgColor theme="0"/>
        <bgColor indexed="64"/>
      </patternFill>
    </fill>
    <fill>
      <patternFill patternType="solid">
        <fgColor rgb="FF66FF66"/>
        <bgColor indexed="64"/>
      </patternFill>
    </fill>
    <fill>
      <patternFill patternType="solid">
        <fgColor theme="9"/>
        <bgColor indexed="64"/>
      </patternFill>
    </fill>
  </fills>
  <borders count="3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95">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5" fillId="20" borderId="2" applyNumberFormat="0" applyAlignment="0" applyProtection="0"/>
    <xf numFmtId="0" fontId="16" fillId="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0" fontId="19" fillId="4"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21" fillId="21" borderId="0" applyNumberFormat="0" applyBorder="0" applyAlignment="0" applyProtection="0"/>
    <xf numFmtId="0" fontId="5" fillId="22" borderId="4" applyNumberFormat="0" applyFont="0" applyAlignment="0" applyProtection="0"/>
    <xf numFmtId="0" fontId="22" fillId="3" borderId="0" applyNumberFormat="0" applyBorder="0" applyAlignment="0" applyProtection="0"/>
    <xf numFmtId="0" fontId="5" fillId="0" borderId="0"/>
    <xf numFmtId="0" fontId="2" fillId="0" borderId="0"/>
    <xf numFmtId="0" fontId="29" fillId="0" borderId="0"/>
    <xf numFmtId="0" fontId="5" fillId="0" borderId="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7" fillId="0" borderId="0" applyNumberFormat="0" applyFill="0" applyBorder="0" applyAlignment="0" applyProtection="0"/>
    <xf numFmtId="0" fontId="28" fillId="23" borderId="9" applyNumberFormat="0" applyAlignment="0" applyProtection="0"/>
    <xf numFmtId="0" fontId="1" fillId="0" borderId="0"/>
    <xf numFmtId="0" fontId="37" fillId="0" borderId="0" applyNumberFormat="0" applyFill="0" applyBorder="0" applyAlignment="0" applyProtection="0"/>
    <xf numFmtId="0" fontId="38" fillId="0" borderId="0"/>
    <xf numFmtId="0" fontId="1"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4" fillId="20" borderId="24" applyNumberFormat="0" applyAlignment="0" applyProtection="0"/>
    <xf numFmtId="0" fontId="15" fillId="20" borderId="25" applyNumberFormat="0" applyAlignment="0" applyProtection="0"/>
    <xf numFmtId="0" fontId="16" fillId="7" borderId="25" applyNumberFormat="0" applyAlignment="0" applyProtection="0"/>
    <xf numFmtId="0" fontId="17" fillId="0" borderId="26"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0" fontId="1" fillId="22" borderId="27" applyNumberFormat="0" applyFont="0" applyAlignment="0" applyProtection="0"/>
    <xf numFmtId="0" fontId="2" fillId="0" borderId="0"/>
    <xf numFmtId="0" fontId="1" fillId="0" borderId="0"/>
    <xf numFmtId="0" fontId="14" fillId="20" borderId="24" applyNumberFormat="0" applyAlignment="0" applyProtection="0"/>
    <xf numFmtId="0" fontId="15" fillId="20" borderId="25" applyNumberFormat="0" applyAlignment="0" applyProtection="0"/>
    <xf numFmtId="0" fontId="16" fillId="7" borderId="25" applyNumberFormat="0" applyAlignment="0" applyProtection="0"/>
    <xf numFmtId="0" fontId="17" fillId="0" borderId="26"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0" fontId="1" fillId="22" borderId="27" applyNumberFormat="0" applyFont="0" applyAlignment="0" applyProtection="0"/>
    <xf numFmtId="0" fontId="2"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0" fontId="1" fillId="22" borderId="27" applyNumberFormat="0" applyFont="0" applyAlignment="0" applyProtection="0"/>
    <xf numFmtId="0" fontId="2" fillId="0" borderId="0"/>
    <xf numFmtId="0" fontId="1" fillId="0" borderId="0"/>
  </cellStyleXfs>
  <cellXfs count="225">
    <xf numFmtId="0" fontId="0" fillId="0" borderId="0" xfId="0"/>
    <xf numFmtId="0" fontId="4" fillId="24" borderId="10" xfId="0" applyFont="1" applyFill="1" applyBorder="1" applyAlignment="1">
      <alignment horizontal="center" vertical="center"/>
    </xf>
    <xf numFmtId="0" fontId="4" fillId="24" borderId="10" xfId="0" applyFont="1" applyFill="1" applyBorder="1" applyAlignment="1">
      <alignment horizontal="center" vertical="center" wrapText="1"/>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0" fillId="0" borderId="0" xfId="38" applyFont="1" applyAlignment="1" applyProtection="1">
      <alignment vertical="center"/>
    </xf>
    <xf numFmtId="0" fontId="4" fillId="0" borderId="0" xfId="0" applyFont="1"/>
    <xf numFmtId="0" fontId="4" fillId="0" borderId="0" xfId="42" applyFont="1" applyAlignment="1">
      <alignment vertical="center"/>
    </xf>
    <xf numFmtId="0" fontId="4" fillId="24" borderId="10" xfId="42" applyFont="1" applyFill="1" applyBorder="1" applyAlignment="1">
      <alignment horizontal="center" vertical="center"/>
    </xf>
    <xf numFmtId="0" fontId="4" fillId="24" borderId="10" xfId="42" applyFont="1" applyFill="1" applyBorder="1" applyAlignment="1">
      <alignment horizontal="center" vertical="center" wrapText="1"/>
    </xf>
    <xf numFmtId="2" fontId="8" fillId="26" borderId="11" xfId="0" applyNumberFormat="1" applyFont="1" applyFill="1" applyBorder="1" applyAlignment="1" applyProtection="1">
      <alignment horizontal="center" vertical="center"/>
      <protection locked="0"/>
    </xf>
    <xf numFmtId="166" fontId="4" fillId="26" borderId="11" xfId="0" applyNumberFormat="1" applyFont="1" applyFill="1" applyBorder="1" applyAlignment="1" applyProtection="1">
      <alignment horizontal="center" vertical="center"/>
      <protection locked="0"/>
    </xf>
    <xf numFmtId="0" fontId="4" fillId="0" borderId="10" xfId="0" applyFont="1" applyBorder="1" applyAlignment="1">
      <alignment vertical="center" wrapText="1"/>
    </xf>
    <xf numFmtId="0" fontId="4" fillId="0" borderId="0" xfId="54" applyFont="1" applyAlignment="1">
      <alignment vertical="center"/>
    </xf>
    <xf numFmtId="0" fontId="4" fillId="0" borderId="0" xfId="54" applyFont="1"/>
    <xf numFmtId="0" fontId="4" fillId="0" borderId="0" xfId="0" applyFont="1" applyAlignment="1">
      <alignment horizontal="center" vertical="center"/>
    </xf>
    <xf numFmtId="0" fontId="4" fillId="0" borderId="0" xfId="0" applyFont="1" applyAlignment="1">
      <alignment vertical="center" wrapText="1"/>
    </xf>
    <xf numFmtId="0" fontId="30" fillId="0" borderId="0" xfId="0" applyFont="1" applyAlignment="1">
      <alignment vertical="center"/>
    </xf>
    <xf numFmtId="168" fontId="34" fillId="0" borderId="0" xfId="0" applyNumberFormat="1" applyFont="1" applyAlignment="1">
      <alignment horizontal="left" vertical="center"/>
    </xf>
    <xf numFmtId="0" fontId="4" fillId="0" borderId="11" xfId="0" applyFont="1" applyBorder="1" applyAlignment="1">
      <alignment vertical="center"/>
    </xf>
    <xf numFmtId="0" fontId="4" fillId="0" borderId="11" xfId="0" applyFont="1" applyBorder="1" applyAlignment="1">
      <alignment horizontal="left" vertical="center"/>
    </xf>
    <xf numFmtId="0" fontId="4" fillId="0" borderId="10" xfId="0" applyFont="1" applyBorder="1" applyAlignment="1">
      <alignment horizontal="center" vertical="center" wrapText="1"/>
    </xf>
    <xf numFmtId="0" fontId="10" fillId="0" borderId="0" xfId="58" applyFont="1" applyAlignment="1" applyProtection="1">
      <alignment vertical="center"/>
    </xf>
    <xf numFmtId="0" fontId="6" fillId="0" borderId="0" xfId="54" applyFont="1" applyAlignment="1">
      <alignment vertical="center"/>
    </xf>
    <xf numFmtId="0" fontId="10" fillId="0" borderId="0" xfId="59" applyFont="1" applyAlignment="1" applyProtection="1">
      <alignment vertical="center"/>
    </xf>
    <xf numFmtId="0" fontId="4" fillId="0" borderId="0" xfId="54" applyFont="1" applyAlignment="1" applyProtection="1">
      <alignment vertical="center"/>
      <protection locked="0"/>
    </xf>
    <xf numFmtId="168" fontId="34" fillId="0" borderId="0" xfId="54" applyNumberFormat="1" applyFont="1" applyAlignment="1">
      <alignment horizontal="left" vertical="center"/>
    </xf>
    <xf numFmtId="0" fontId="2" fillId="0" borderId="0" xfId="54" applyFont="1" applyAlignment="1">
      <alignment vertical="center"/>
    </xf>
    <xf numFmtId="0" fontId="4" fillId="24" borderId="16" xfId="54" applyFont="1" applyFill="1" applyBorder="1" applyAlignment="1">
      <alignment horizontal="center" vertical="center" wrapText="1"/>
    </xf>
    <xf numFmtId="0" fontId="4" fillId="24" borderId="16" xfId="54" applyFont="1" applyFill="1" applyBorder="1" applyAlignment="1">
      <alignment horizontal="center" vertical="center"/>
    </xf>
    <xf numFmtId="0" fontId="4" fillId="24" borderId="19" xfId="54" applyFont="1" applyFill="1" applyBorder="1" applyAlignment="1">
      <alignment horizontal="center" vertical="center" wrapText="1"/>
    </xf>
    <xf numFmtId="0" fontId="4" fillId="24" borderId="10" xfId="54" applyFont="1" applyFill="1" applyBorder="1" applyAlignment="1">
      <alignment horizontal="center" vertical="center" wrapText="1"/>
    </xf>
    <xf numFmtId="0" fontId="4" fillId="24" borderId="10" xfId="54" applyFont="1" applyFill="1" applyBorder="1" applyAlignment="1">
      <alignment horizontal="center" vertical="center"/>
    </xf>
    <xf numFmtId="0" fontId="4" fillId="0" borderId="0" xfId="54" applyFont="1" applyProtection="1">
      <protection locked="0"/>
    </xf>
    <xf numFmtId="168" fontId="34" fillId="0" borderId="0" xfId="54" applyNumberFormat="1" applyFont="1"/>
    <xf numFmtId="0" fontId="4" fillId="0" borderId="10" xfId="54" applyFont="1" applyBorder="1" applyAlignment="1">
      <alignment vertical="center"/>
    </xf>
    <xf numFmtId="0" fontId="4" fillId="0" borderId="10" xfId="54" applyFont="1" applyBorder="1" applyAlignment="1">
      <alignment vertical="center" wrapText="1"/>
    </xf>
    <xf numFmtId="0" fontId="10" fillId="0" borderId="0" xfId="38" applyFont="1" applyAlignment="1" applyProtection="1">
      <alignment horizontal="center" vertical="center"/>
    </xf>
    <xf numFmtId="0" fontId="10" fillId="0" borderId="0" xfId="38" applyFont="1" applyAlignment="1" applyProtection="1">
      <alignment horizontal="left" vertical="center"/>
    </xf>
    <xf numFmtId="4" fontId="10" fillId="0" borderId="10" xfId="38" applyNumberFormat="1" applyFont="1" applyBorder="1" applyAlignment="1" applyProtection="1">
      <alignment vertical="center" wrapText="1"/>
    </xf>
    <xf numFmtId="4" fontId="4" fillId="0" borderId="10" xfId="0" applyNumberFormat="1" applyFont="1" applyBorder="1" applyAlignment="1">
      <alignment vertical="center" wrapText="1"/>
    </xf>
    <xf numFmtId="0" fontId="4" fillId="0" borderId="0" xfId="0" applyFont="1" applyAlignment="1" applyProtection="1">
      <alignment vertical="center"/>
      <protection locked="0"/>
    </xf>
    <xf numFmtId="3" fontId="4" fillId="0" borderId="10" xfId="0" applyNumberFormat="1" applyFont="1" applyBorder="1" applyAlignment="1">
      <alignment horizontal="center" vertical="center" wrapText="1"/>
    </xf>
    <xf numFmtId="4" fontId="4" fillId="30" borderId="10" xfId="0" applyNumberFormat="1" applyFont="1" applyFill="1" applyBorder="1" applyAlignment="1">
      <alignment vertical="center" wrapText="1"/>
    </xf>
    <xf numFmtId="0" fontId="4" fillId="0" borderId="0" xfId="54" applyFont="1" applyAlignment="1">
      <alignment horizontal="left" vertical="center"/>
    </xf>
    <xf numFmtId="0" fontId="4" fillId="0" borderId="23" xfId="54" applyFont="1" applyBorder="1" applyAlignment="1">
      <alignment horizontal="center" vertical="center" wrapText="1"/>
    </xf>
    <xf numFmtId="0" fontId="4" fillId="0" borderId="23" xfId="54" applyFont="1" applyBorder="1" applyAlignment="1">
      <alignment vertical="center" wrapText="1"/>
    </xf>
    <xf numFmtId="4" fontId="4" fillId="0" borderId="23" xfId="54" applyNumberFormat="1" applyFont="1" applyBorder="1" applyAlignment="1">
      <alignment horizontal="center" vertical="center" wrapText="1"/>
    </xf>
    <xf numFmtId="4" fontId="4" fillId="0" borderId="23" xfId="54" applyNumberFormat="1" applyFont="1" applyBorder="1" applyAlignment="1">
      <alignment horizontal="right" vertical="center" wrapText="1"/>
    </xf>
    <xf numFmtId="0" fontId="4" fillId="0" borderId="0" xfId="0" applyFont="1" applyAlignment="1">
      <alignment horizontal="right"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0" fontId="4" fillId="0" borderId="10" xfId="54" applyFont="1" applyBorder="1" applyAlignment="1">
      <alignment horizontal="center" vertical="center"/>
    </xf>
    <xf numFmtId="0" fontId="4" fillId="0" borderId="0" xfId="0" applyFont="1" applyAlignment="1">
      <alignment horizontal="center" vertical="center" wrapText="1"/>
    </xf>
    <xf numFmtId="0" fontId="34" fillId="0" borderId="0" xfId="0" applyFont="1" applyAlignment="1">
      <alignment horizontal="left" vertical="center"/>
    </xf>
    <xf numFmtId="0" fontId="4" fillId="0" borderId="0" xfId="43" applyFont="1" applyAlignment="1">
      <alignment horizontal="left" vertical="center" wrapText="1"/>
    </xf>
    <xf numFmtId="0" fontId="4" fillId="24" borderId="10" xfId="0" applyFont="1" applyFill="1" applyBorder="1" applyAlignment="1">
      <alignment horizontal="left" vertical="center"/>
    </xf>
    <xf numFmtId="14" fontId="4" fillId="0" borderId="10" xfId="0" applyNumberFormat="1" applyFont="1" applyBorder="1" applyAlignment="1">
      <alignment vertical="center"/>
    </xf>
    <xf numFmtId="0" fontId="39" fillId="0" borderId="0" xfId="0" applyFont="1" applyAlignment="1">
      <alignment vertical="center"/>
    </xf>
    <xf numFmtId="0" fontId="4" fillId="0" borderId="10" xfId="0" applyFont="1" applyBorder="1" applyAlignment="1">
      <alignment vertical="center"/>
    </xf>
    <xf numFmtId="0" fontId="4" fillId="0" borderId="10" xfId="43" applyFont="1" applyBorder="1" applyAlignment="1">
      <alignment vertical="center" wrapText="1"/>
    </xf>
    <xf numFmtId="4" fontId="4" fillId="0" borderId="10" xfId="0" applyNumberFormat="1" applyFont="1" applyBorder="1" applyAlignment="1">
      <alignment horizontal="center" vertical="center" wrapText="1"/>
    </xf>
    <xf numFmtId="0" fontId="4" fillId="30" borderId="10" xfId="0" applyFont="1" applyFill="1" applyBorder="1" applyAlignment="1">
      <alignment vertical="center" wrapText="1"/>
    </xf>
    <xf numFmtId="2" fontId="34" fillId="0" borderId="0" xfId="0" applyNumberFormat="1" applyFont="1" applyAlignment="1">
      <alignment vertical="center"/>
    </xf>
    <xf numFmtId="2" fontId="4" fillId="0" borderId="0" xfId="0" applyNumberFormat="1" applyFont="1" applyAlignment="1">
      <alignment vertical="center"/>
    </xf>
    <xf numFmtId="2" fontId="8" fillId="0" borderId="0" xfId="0" applyNumberFormat="1" applyFont="1" applyAlignment="1">
      <alignment vertical="center"/>
    </xf>
    <xf numFmtId="166" fontId="8" fillId="0" borderId="11" xfId="0" applyNumberFormat="1" applyFont="1" applyBorder="1" applyAlignment="1">
      <alignment horizontal="center" vertical="center"/>
    </xf>
    <xf numFmtId="0" fontId="34" fillId="0" borderId="0" xfId="0" applyFont="1" applyAlignment="1">
      <alignment vertical="center"/>
    </xf>
    <xf numFmtId="2" fontId="4" fillId="0" borderId="0" xfId="0" applyNumberFormat="1" applyFont="1" applyAlignment="1">
      <alignment horizontal="center" vertical="center"/>
    </xf>
    <xf numFmtId="2" fontId="8" fillId="0" borderId="0" xfId="0" applyNumberFormat="1" applyFont="1" applyAlignment="1">
      <alignment horizontal="center" vertical="center"/>
    </xf>
    <xf numFmtId="0" fontId="35" fillId="0" borderId="0" xfId="0" applyFont="1" applyAlignment="1">
      <alignment vertical="center"/>
    </xf>
    <xf numFmtId="2" fontId="4"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2" fontId="8" fillId="0" borderId="12" xfId="0" applyNumberFormat="1" applyFont="1" applyBorder="1" applyAlignment="1">
      <alignment horizontal="center" vertical="center"/>
    </xf>
    <xf numFmtId="166" fontId="4" fillId="0" borderId="11" xfId="0" applyNumberFormat="1" applyFont="1" applyBorder="1" applyAlignment="1">
      <alignment horizontal="center" vertical="center"/>
    </xf>
    <xf numFmtId="167" fontId="4" fillId="0" borderId="11" xfId="0" applyNumberFormat="1" applyFont="1" applyBorder="1" applyAlignment="1">
      <alignment horizontal="center" vertical="center"/>
    </xf>
    <xf numFmtId="167" fontId="4" fillId="0" borderId="0" xfId="0" applyNumberFormat="1" applyFont="1" applyAlignment="1">
      <alignment horizontal="center" vertical="center"/>
    </xf>
    <xf numFmtId="166" fontId="8" fillId="0" borderId="0" xfId="0" applyNumberFormat="1" applyFont="1" applyAlignment="1">
      <alignment horizontal="center" vertical="center"/>
    </xf>
    <xf numFmtId="2" fontId="6" fillId="0" borderId="0" xfId="0" applyNumberFormat="1" applyFont="1" applyAlignment="1">
      <alignment vertical="center"/>
    </xf>
    <xf numFmtId="0" fontId="36" fillId="0" borderId="0" xfId="0" applyFont="1" applyAlignment="1" applyProtection="1">
      <alignment vertical="center"/>
      <protection locked="0"/>
    </xf>
    <xf numFmtId="0" fontId="32" fillId="24" borderId="20" xfId="0" applyFont="1" applyFill="1" applyBorder="1" applyAlignment="1">
      <alignment vertical="center"/>
    </xf>
    <xf numFmtId="0" fontId="8" fillId="24" borderId="11" xfId="0" applyFont="1" applyFill="1" applyBorder="1" applyAlignment="1">
      <alignment vertical="center"/>
    </xf>
    <xf numFmtId="0" fontId="8" fillId="24" borderId="21" xfId="0" applyFont="1" applyFill="1" applyBorder="1" applyAlignment="1">
      <alignment vertical="center"/>
    </xf>
    <xf numFmtId="4" fontId="4" fillId="26" borderId="10" xfId="0" applyNumberFormat="1" applyFont="1" applyFill="1" applyBorder="1" applyAlignment="1" applyProtection="1">
      <alignment vertical="center"/>
      <protection locked="0"/>
    </xf>
    <xf numFmtId="4" fontId="4" fillId="0" borderId="10" xfId="0" applyNumberFormat="1" applyFont="1" applyBorder="1" applyAlignment="1">
      <alignment vertical="center"/>
    </xf>
    <xf numFmtId="0" fontId="4" fillId="24" borderId="14" xfId="0" applyFont="1" applyFill="1" applyBorder="1" applyAlignment="1">
      <alignment horizontal="left" vertical="center" wrapText="1"/>
    </xf>
    <xf numFmtId="0" fontId="4" fillId="24" borderId="14" xfId="0" applyFont="1" applyFill="1" applyBorder="1" applyAlignment="1">
      <alignment vertical="center" wrapText="1"/>
    </xf>
    <xf numFmtId="0" fontId="4" fillId="25" borderId="10" xfId="0" applyFont="1" applyFill="1" applyBorder="1" applyAlignment="1">
      <alignment vertical="center" wrapText="1"/>
    </xf>
    <xf numFmtId="4" fontId="4" fillId="25" borderId="10" xfId="0" applyNumberFormat="1" applyFont="1" applyFill="1" applyBorder="1" applyAlignment="1">
      <alignment vertical="center" wrapText="1"/>
    </xf>
    <xf numFmtId="4" fontId="44" fillId="0" borderId="10" xfId="0" applyNumberFormat="1" applyFont="1" applyBorder="1" applyAlignment="1">
      <alignment vertical="center" wrapText="1"/>
    </xf>
    <xf numFmtId="49" fontId="4" fillId="0" borderId="10"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 fontId="4" fillId="26" borderId="10" xfId="0" applyNumberFormat="1" applyFont="1" applyFill="1" applyBorder="1" applyAlignment="1" applyProtection="1">
      <alignment vertical="center" wrapText="1"/>
      <protection locked="0"/>
    </xf>
    <xf numFmtId="0" fontId="43" fillId="0" borderId="0" xfId="0" applyFont="1" applyAlignment="1">
      <alignment vertical="center"/>
    </xf>
    <xf numFmtId="0" fontId="4" fillId="0" borderId="13" xfId="0" applyFont="1" applyBorder="1" applyAlignment="1">
      <alignment horizontal="center" vertical="center" wrapText="1"/>
    </xf>
    <xf numFmtId="4" fontId="4" fillId="0" borderId="13" xfId="0" applyNumberFormat="1" applyFont="1" applyBorder="1" applyAlignment="1">
      <alignment vertical="center"/>
    </xf>
    <xf numFmtId="0" fontId="4" fillId="0" borderId="13" xfId="0" applyFont="1" applyBorder="1" applyAlignment="1">
      <alignment vertical="center"/>
    </xf>
    <xf numFmtId="0" fontId="43" fillId="29" borderId="0" xfId="0" applyFont="1" applyFill="1" applyAlignment="1">
      <alignment vertical="center"/>
    </xf>
    <xf numFmtId="0" fontId="10" fillId="0" borderId="0" xfId="38" applyFont="1" applyAlignment="1" applyProtection="1">
      <alignment vertical="center"/>
      <protection locked="0"/>
    </xf>
    <xf numFmtId="4" fontId="4" fillId="0" borderId="10" xfId="0" applyNumberFormat="1" applyFont="1" applyBorder="1" applyAlignment="1">
      <alignment horizontal="center" vertical="center"/>
    </xf>
    <xf numFmtId="0" fontId="4" fillId="0" borderId="10" xfId="0" applyFont="1" applyBorder="1"/>
    <xf numFmtId="4" fontId="33" fillId="0" borderId="10" xfId="0" applyNumberFormat="1" applyFont="1" applyBorder="1" applyAlignment="1">
      <alignment horizontal="center" vertical="center"/>
    </xf>
    <xf numFmtId="4" fontId="42" fillId="0" borderId="10" xfId="0" applyNumberFormat="1" applyFont="1" applyBorder="1" applyAlignment="1">
      <alignment horizontal="center" vertical="center"/>
    </xf>
    <xf numFmtId="4" fontId="42" fillId="30" borderId="10" xfId="0" applyNumberFormat="1" applyFont="1" applyFill="1" applyBorder="1" applyAlignment="1">
      <alignment horizontal="center" vertical="center"/>
    </xf>
    <xf numFmtId="4" fontId="42" fillId="28" borderId="10" xfId="0" applyNumberFormat="1" applyFont="1" applyFill="1" applyBorder="1" applyAlignment="1">
      <alignment horizontal="center" vertical="center"/>
    </xf>
    <xf numFmtId="4" fontId="4" fillId="28" borderId="10" xfId="0" applyNumberFormat="1" applyFont="1" applyFill="1" applyBorder="1" applyAlignment="1">
      <alignment horizontal="center" vertical="center"/>
    </xf>
    <xf numFmtId="4" fontId="4" fillId="30" borderId="10" xfId="0" applyNumberFormat="1" applyFont="1" applyFill="1" applyBorder="1" applyAlignment="1">
      <alignment horizontal="center" vertical="center"/>
    </xf>
    <xf numFmtId="0" fontId="36" fillId="0" borderId="0" xfId="0" applyFont="1" applyAlignment="1" applyProtection="1">
      <alignment horizontal="center" vertical="center"/>
      <protection locked="0"/>
    </xf>
    <xf numFmtId="4" fontId="4" fillId="26" borderId="23" xfId="54" applyNumberFormat="1" applyFont="1" applyFill="1" applyBorder="1" applyAlignment="1" applyProtection="1">
      <alignment horizontal="right" vertical="center" wrapText="1"/>
      <protection locked="0"/>
    </xf>
    <xf numFmtId="4" fontId="4" fillId="27" borderId="10" xfId="54" applyNumberFormat="1" applyFont="1" applyFill="1" applyBorder="1" applyAlignment="1" applyProtection="1">
      <alignment horizontal="right" vertical="center"/>
      <protection locked="0"/>
    </xf>
    <xf numFmtId="49" fontId="4" fillId="26" borderId="28" xfId="54" applyNumberFormat="1" applyFont="1" applyFill="1" applyBorder="1" applyAlignment="1" applyProtection="1">
      <alignment horizontal="left" vertical="center"/>
      <protection locked="0"/>
    </xf>
    <xf numFmtId="166" fontId="4" fillId="26" borderId="11" xfId="54" applyNumberFormat="1" applyFont="1" applyFill="1" applyBorder="1" applyAlignment="1" applyProtection="1">
      <alignment horizontal="center" vertical="center"/>
      <protection locked="0"/>
    </xf>
    <xf numFmtId="2" fontId="6" fillId="26" borderId="30" xfId="54" applyNumberFormat="1" applyFont="1" applyFill="1" applyBorder="1" applyAlignment="1" applyProtection="1">
      <alignment vertical="center"/>
      <protection locked="0"/>
    </xf>
    <xf numFmtId="2" fontId="6" fillId="26" borderId="29" xfId="54" applyNumberFormat="1" applyFont="1" applyFill="1" applyBorder="1" applyAlignment="1" applyProtection="1">
      <alignment vertical="center"/>
      <protection locked="0"/>
    </xf>
    <xf numFmtId="2" fontId="6" fillId="26" borderId="0" xfId="54" applyNumberFormat="1" applyFont="1" applyFill="1" applyAlignment="1" applyProtection="1">
      <alignment vertical="center"/>
      <protection locked="0"/>
    </xf>
    <xf numFmtId="1" fontId="4" fillId="27" borderId="10" xfId="0" applyNumberFormat="1" applyFont="1" applyFill="1" applyBorder="1" applyAlignment="1">
      <alignment horizontal="center" vertical="center" wrapText="1"/>
    </xf>
    <xf numFmtId="0" fontId="4" fillId="27" borderId="10" xfId="0" applyFont="1" applyFill="1" applyBorder="1" applyAlignment="1">
      <alignment horizontal="center" vertical="center" wrapText="1"/>
    </xf>
    <xf numFmtId="0" fontId="4" fillId="27" borderId="0" xfId="42" applyFont="1" applyFill="1" applyAlignment="1">
      <alignment vertical="center"/>
    </xf>
    <xf numFmtId="0" fontId="4" fillId="27" borderId="0" xfId="0" applyFont="1" applyFill="1" applyAlignment="1">
      <alignment vertical="center"/>
    </xf>
    <xf numFmtId="0" fontId="4" fillId="27" borderId="0" xfId="54" applyFont="1" applyFill="1" applyAlignment="1">
      <alignment vertical="center"/>
    </xf>
    <xf numFmtId="0" fontId="4" fillId="27" borderId="0" xfId="0" applyFont="1" applyFill="1" applyAlignment="1">
      <alignment horizontal="center" vertical="center"/>
    </xf>
    <xf numFmtId="0" fontId="4" fillId="27" borderId="10" xfId="0" applyFont="1" applyFill="1" applyBorder="1" applyAlignment="1">
      <alignment horizontal="center" vertical="center"/>
    </xf>
    <xf numFmtId="4" fontId="4" fillId="27" borderId="10" xfId="0" applyNumberFormat="1" applyFont="1" applyFill="1" applyBorder="1" applyAlignment="1">
      <alignment horizontal="center" vertical="center"/>
    </xf>
    <xf numFmtId="4" fontId="42" fillId="27" borderId="10" xfId="0" applyNumberFormat="1" applyFont="1" applyFill="1" applyBorder="1" applyAlignment="1">
      <alignment horizontal="center" vertical="center"/>
    </xf>
    <xf numFmtId="4" fontId="4" fillId="27" borderId="23" xfId="54" applyNumberFormat="1" applyFont="1" applyFill="1" applyBorder="1" applyAlignment="1">
      <alignment horizontal="center" vertical="center" wrapText="1"/>
    </xf>
    <xf numFmtId="4" fontId="4" fillId="27" borderId="10" xfId="54" applyNumberFormat="1" applyFont="1" applyFill="1" applyBorder="1" applyAlignment="1">
      <alignment horizontal="center" vertical="center"/>
    </xf>
    <xf numFmtId="0" fontId="4" fillId="24" borderId="10" xfId="0" applyFont="1" applyFill="1" applyBorder="1" applyAlignment="1">
      <alignment horizontal="center" vertical="center" wrapText="1"/>
    </xf>
    <xf numFmtId="1" fontId="4" fillId="31" borderId="10" xfId="0" applyNumberFormat="1" applyFont="1" applyFill="1" applyBorder="1" applyAlignment="1">
      <alignment horizontal="center" vertical="center" wrapText="1"/>
    </xf>
    <xf numFmtId="4" fontId="4" fillId="31" borderId="10" xfId="0" applyNumberFormat="1" applyFont="1" applyFill="1" applyBorder="1" applyAlignment="1">
      <alignment horizontal="center" vertical="center" wrapText="1"/>
    </xf>
    <xf numFmtId="0" fontId="4" fillId="31" borderId="10" xfId="0" applyFont="1" applyFill="1" applyBorder="1" applyAlignment="1">
      <alignment horizontal="center" vertical="center" wrapText="1"/>
    </xf>
    <xf numFmtId="4" fontId="4" fillId="31" borderId="10" xfId="0" applyNumberFormat="1" applyFont="1" applyFill="1" applyBorder="1" applyAlignment="1">
      <alignment vertical="center" wrapText="1"/>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10" xfId="0" applyFont="1" applyFill="1" applyBorder="1" applyAlignment="1">
      <alignment horizontal="center" vertical="center"/>
    </xf>
    <xf numFmtId="4" fontId="4" fillId="0" borderId="10" xfId="0" applyNumberFormat="1" applyFont="1" applyFill="1" applyBorder="1" applyAlignment="1">
      <alignment horizontal="center" vertical="center"/>
    </xf>
    <xf numFmtId="4" fontId="42" fillId="0" borderId="10" xfId="0" applyNumberFormat="1" applyFont="1" applyFill="1" applyBorder="1" applyAlignment="1">
      <alignment horizontal="center" vertical="center"/>
    </xf>
    <xf numFmtId="4" fontId="4" fillId="0" borderId="10" xfId="0" applyNumberFormat="1" applyFont="1" applyFill="1" applyBorder="1" applyAlignment="1" applyProtection="1">
      <alignment vertical="center"/>
      <protection locked="0"/>
    </xf>
    <xf numFmtId="4" fontId="4" fillId="27" borderId="10" xfId="0" applyNumberFormat="1" applyFont="1" applyFill="1" applyBorder="1" applyAlignment="1" applyProtection="1">
      <alignment vertical="center"/>
      <protection locked="0"/>
    </xf>
    <xf numFmtId="0" fontId="4" fillId="32" borderId="0" xfId="0" applyFont="1" applyFill="1" applyAlignment="1">
      <alignment horizontal="left" vertical="center"/>
    </xf>
    <xf numFmtId="0" fontId="4" fillId="32" borderId="10" xfId="0" applyFont="1" applyFill="1" applyBorder="1" applyAlignment="1">
      <alignment horizontal="center" vertical="center" wrapText="1"/>
    </xf>
    <xf numFmtId="3" fontId="4" fillId="32" borderId="10" xfId="0" applyNumberFormat="1" applyFont="1" applyFill="1" applyBorder="1" applyAlignment="1">
      <alignment horizontal="center" vertical="center" wrapText="1"/>
    </xf>
    <xf numFmtId="0" fontId="4" fillId="33" borderId="14" xfId="0" applyFont="1" applyFill="1" applyBorder="1" applyAlignment="1">
      <alignment horizontal="left" vertical="center" wrapText="1"/>
    </xf>
    <xf numFmtId="0" fontId="4" fillId="32" borderId="14" xfId="0" applyFont="1" applyFill="1" applyBorder="1" applyAlignment="1">
      <alignment horizontal="left" vertical="center" wrapText="1"/>
    </xf>
    <xf numFmtId="0" fontId="46" fillId="32" borderId="0" xfId="38" applyFont="1" applyFill="1" applyAlignment="1" applyProtection="1">
      <alignment horizontal="left" vertical="center"/>
    </xf>
    <xf numFmtId="0" fontId="10" fillId="33" borderId="0" xfId="38" applyFont="1" applyFill="1" applyAlignment="1" applyProtection="1">
      <alignment horizontal="left" vertical="center"/>
    </xf>
    <xf numFmtId="0" fontId="4" fillId="33" borderId="0" xfId="0" applyFont="1" applyFill="1" applyAlignment="1">
      <alignment horizontal="left" vertical="center"/>
    </xf>
    <xf numFmtId="0" fontId="45" fillId="0" borderId="0" xfId="0" applyFont="1" applyFill="1" applyAlignment="1">
      <alignment vertical="center"/>
    </xf>
    <xf numFmtId="4" fontId="4" fillId="27" borderId="10" xfId="0" applyNumberFormat="1" applyFont="1" applyFill="1" applyBorder="1" applyAlignment="1" applyProtection="1">
      <alignment vertical="center" wrapText="1"/>
      <protection locked="0"/>
    </xf>
    <xf numFmtId="1" fontId="4" fillId="0" borderId="10"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24" borderId="10" xfId="0" applyFont="1" applyFill="1" applyBorder="1" applyAlignment="1">
      <alignment horizontal="center" vertical="center" wrapText="1"/>
    </xf>
    <xf numFmtId="0" fontId="4" fillId="0" borderId="10" xfId="0" applyFont="1" applyBorder="1" applyAlignment="1">
      <alignment horizontal="right" vertical="center" wrapText="1"/>
    </xf>
    <xf numFmtId="3" fontId="4" fillId="0" borderId="10" xfId="0" applyNumberFormat="1" applyFont="1" applyBorder="1" applyAlignment="1">
      <alignment horizontal="center" vertical="center" wrapText="1"/>
    </xf>
    <xf numFmtId="4" fontId="4" fillId="0" borderId="10" xfId="0" applyNumberFormat="1" applyFont="1" applyBorder="1" applyAlignment="1">
      <alignment horizontal="right" vertical="center" wrapText="1"/>
    </xf>
    <xf numFmtId="0" fontId="4" fillId="32" borderId="14" xfId="0" applyFont="1" applyFill="1" applyBorder="1" applyAlignment="1">
      <alignment horizontal="center" vertical="center" wrapText="1"/>
    </xf>
    <xf numFmtId="0" fontId="2" fillId="32" borderId="15" xfId="0" applyFont="1" applyFill="1" applyBorder="1" applyAlignment="1">
      <alignment horizontal="center" vertical="center" wrapText="1"/>
    </xf>
    <xf numFmtId="0" fontId="4" fillId="0" borderId="0" xfId="0" applyFont="1" applyAlignment="1">
      <alignment horizontal="center" vertical="center" wrapText="1"/>
    </xf>
    <xf numFmtId="2" fontId="8" fillId="24" borderId="16" xfId="0" applyNumberFormat="1" applyFont="1" applyFill="1" applyBorder="1" applyAlignment="1">
      <alignment horizontal="center" vertical="center" wrapText="1"/>
    </xf>
    <xf numFmtId="2" fontId="8" fillId="24" borderId="18" xfId="0" applyNumberFormat="1" applyFont="1" applyFill="1" applyBorder="1" applyAlignment="1">
      <alignment horizontal="center" vertical="center" wrapText="1"/>
    </xf>
    <xf numFmtId="2" fontId="8" fillId="24" borderId="19" xfId="0" applyNumberFormat="1" applyFont="1" applyFill="1" applyBorder="1" applyAlignment="1">
      <alignment horizontal="center" vertical="center"/>
    </xf>
    <xf numFmtId="2" fontId="8" fillId="24" borderId="13" xfId="0" applyNumberFormat="1" applyFont="1" applyFill="1" applyBorder="1" applyAlignment="1">
      <alignment horizontal="center" vertical="center"/>
    </xf>
    <xf numFmtId="2" fontId="8" fillId="24" borderId="17" xfId="0" applyNumberFormat="1" applyFont="1" applyFill="1" applyBorder="1" applyAlignment="1">
      <alignment horizontal="center" vertical="center"/>
    </xf>
    <xf numFmtId="2" fontId="8" fillId="24" borderId="20" xfId="0" applyNumberFormat="1" applyFont="1" applyFill="1" applyBorder="1" applyAlignment="1">
      <alignment horizontal="center" vertical="center"/>
    </xf>
    <xf numFmtId="2" fontId="8" fillId="24" borderId="11" xfId="0" applyNumberFormat="1" applyFont="1" applyFill="1" applyBorder="1" applyAlignment="1">
      <alignment horizontal="center" vertical="center"/>
    </xf>
    <xf numFmtId="2" fontId="8" fillId="24" borderId="21" xfId="0" applyNumberFormat="1" applyFont="1" applyFill="1" applyBorder="1" applyAlignment="1">
      <alignment horizontal="center" vertical="center"/>
    </xf>
    <xf numFmtId="2" fontId="32" fillId="24" borderId="0" xfId="0" applyNumberFormat="1" applyFont="1" applyFill="1" applyAlignment="1">
      <alignment horizontal="left" vertical="center"/>
    </xf>
    <xf numFmtId="2" fontId="8" fillId="0" borderId="0" xfId="0" applyNumberFormat="1" applyFont="1" applyAlignment="1">
      <alignment horizontal="left" vertical="center"/>
    </xf>
    <xf numFmtId="2" fontId="8" fillId="0" borderId="0" xfId="0" applyNumberFormat="1" applyFont="1" applyAlignment="1">
      <alignment horizontal="left"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0" fontId="4" fillId="24" borderId="22" xfId="0" applyFont="1" applyFill="1" applyBorder="1" applyAlignment="1">
      <alignment horizontal="left" vertical="center" wrapText="1"/>
    </xf>
    <xf numFmtId="0" fontId="4" fillId="24" borderId="20" xfId="0" applyFont="1" applyFill="1" applyBorder="1" applyAlignment="1">
      <alignment horizontal="left" vertical="center" wrapText="1"/>
    </xf>
    <xf numFmtId="0" fontId="4" fillId="24" borderId="19" xfId="0" applyFont="1" applyFill="1" applyBorder="1" applyAlignment="1">
      <alignment vertical="center" wrapText="1"/>
    </xf>
    <xf numFmtId="0" fontId="4" fillId="24" borderId="13" xfId="0" applyFont="1" applyFill="1" applyBorder="1" applyAlignment="1">
      <alignment vertical="center" wrapText="1"/>
    </xf>
    <xf numFmtId="0" fontId="4" fillId="24" borderId="17" xfId="0" applyFont="1" applyFill="1" applyBorder="1" applyAlignment="1">
      <alignment vertical="center" wrapText="1"/>
    </xf>
    <xf numFmtId="0" fontId="4" fillId="24" borderId="16"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10" fillId="0" borderId="14" xfId="38" applyFont="1" applyBorder="1" applyAlignment="1" applyProtection="1">
      <alignment horizontal="left" vertical="center"/>
    </xf>
    <xf numFmtId="0" fontId="10" fillId="0" borderId="12" xfId="38" applyFont="1" applyBorder="1" applyAlignment="1" applyProtection="1">
      <alignment horizontal="left" vertical="center"/>
    </xf>
    <xf numFmtId="0" fontId="10" fillId="0" borderId="15" xfId="38" applyFont="1" applyBorder="1" applyAlignment="1" applyProtection="1">
      <alignment horizontal="left" vertical="center"/>
    </xf>
    <xf numFmtId="0" fontId="4" fillId="0" borderId="19"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0" fontId="4" fillId="32" borderId="14" xfId="43" applyFont="1" applyFill="1" applyBorder="1" applyAlignment="1">
      <alignment horizontal="left" vertical="center"/>
    </xf>
    <xf numFmtId="0" fontId="4" fillId="32" borderId="12" xfId="0" applyFont="1" applyFill="1" applyBorder="1" applyAlignment="1">
      <alignment horizontal="left" vertical="center"/>
    </xf>
    <xf numFmtId="0" fontId="4" fillId="32" borderId="15" xfId="0" applyFont="1" applyFill="1" applyBorder="1" applyAlignment="1">
      <alignment horizontal="left" vertical="center"/>
    </xf>
    <xf numFmtId="0" fontId="8" fillId="0" borderId="14" xfId="43"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14" xfId="43" applyFont="1" applyBorder="1" applyAlignment="1">
      <alignment horizontal="left" vertical="center"/>
    </xf>
    <xf numFmtId="0" fontId="4" fillId="0" borderId="14" xfId="0" applyFont="1" applyBorder="1" applyAlignment="1">
      <alignment horizontal="left" vertical="center"/>
    </xf>
    <xf numFmtId="49" fontId="4" fillId="0" borderId="14" xfId="43" applyNumberFormat="1" applyFont="1" applyBorder="1" applyAlignment="1">
      <alignment horizontal="left" vertical="center"/>
    </xf>
    <xf numFmtId="0" fontId="4" fillId="33" borderId="14" xfId="43" applyFont="1" applyFill="1" applyBorder="1" applyAlignment="1">
      <alignment horizontal="left" vertical="center"/>
    </xf>
    <xf numFmtId="0" fontId="4" fillId="33" borderId="12" xfId="0" applyFont="1" applyFill="1" applyBorder="1" applyAlignment="1">
      <alignment horizontal="left" vertical="center"/>
    </xf>
    <xf numFmtId="0" fontId="4" fillId="33" borderId="15" xfId="0" applyFont="1" applyFill="1" applyBorder="1" applyAlignment="1">
      <alignment horizontal="left" vertical="center"/>
    </xf>
    <xf numFmtId="0" fontId="4" fillId="31" borderId="19" xfId="0" applyFont="1" applyFill="1" applyBorder="1" applyAlignment="1">
      <alignment horizontal="left" vertical="center" wrapText="1"/>
    </xf>
    <xf numFmtId="0" fontId="4" fillId="31" borderId="13" xfId="0" applyFont="1" applyFill="1" applyBorder="1" applyAlignment="1">
      <alignment horizontal="left" vertical="center" wrapText="1"/>
    </xf>
    <xf numFmtId="0" fontId="4" fillId="31" borderId="17" xfId="0" applyFont="1" applyFill="1" applyBorder="1" applyAlignment="1">
      <alignment horizontal="left" vertical="center" wrapText="1"/>
    </xf>
    <xf numFmtId="0" fontId="4" fillId="31" borderId="20" xfId="0" applyFont="1" applyFill="1" applyBorder="1" applyAlignment="1">
      <alignment horizontal="left" vertical="center" wrapText="1"/>
    </xf>
    <xf numFmtId="0" fontId="4" fillId="31" borderId="11" xfId="0" applyFont="1" applyFill="1" applyBorder="1" applyAlignment="1">
      <alignment horizontal="left" vertical="center" wrapText="1"/>
    </xf>
    <xf numFmtId="0" fontId="4" fillId="31" borderId="21" xfId="0" applyFont="1" applyFill="1" applyBorder="1" applyAlignment="1">
      <alignment horizontal="left" vertical="center" wrapText="1"/>
    </xf>
    <xf numFmtId="0" fontId="8" fillId="31" borderId="14" xfId="43" applyFont="1" applyFill="1" applyBorder="1" applyAlignment="1">
      <alignment horizontal="left" vertical="center"/>
    </xf>
    <xf numFmtId="0" fontId="4" fillId="31" borderId="12" xfId="0" applyFont="1" applyFill="1" applyBorder="1" applyAlignment="1">
      <alignment horizontal="left" vertical="center"/>
    </xf>
    <xf numFmtId="0" fontId="4" fillId="31" borderId="15" xfId="0" applyFont="1" applyFill="1" applyBorder="1" applyAlignment="1">
      <alignment horizontal="left" vertical="center"/>
    </xf>
    <xf numFmtId="0" fontId="4" fillId="31" borderId="14" xfId="43" applyFont="1" applyFill="1" applyBorder="1" applyAlignment="1">
      <alignment horizontal="left" vertical="center"/>
    </xf>
    <xf numFmtId="0" fontId="4" fillId="31" borderId="14" xfId="0" applyFont="1" applyFill="1" applyBorder="1" applyAlignment="1">
      <alignment horizontal="left" vertical="center"/>
    </xf>
    <xf numFmtId="0" fontId="4" fillId="0" borderId="0" xfId="54" applyFont="1" applyAlignment="1">
      <alignment horizontal="left" vertical="center" wrapText="1"/>
    </xf>
    <xf numFmtId="0" fontId="4" fillId="0" borderId="11" xfId="54" applyFont="1" applyBorder="1" applyAlignment="1">
      <alignment horizontal="left" vertical="center" wrapText="1"/>
    </xf>
    <xf numFmtId="0" fontId="41" fillId="0" borderId="0" xfId="0" applyFont="1" applyAlignment="1">
      <alignment horizontal="left" vertical="center" wrapText="1" readingOrder="1"/>
    </xf>
    <xf numFmtId="0" fontId="4" fillId="0" borderId="22" xfId="54" applyFont="1" applyBorder="1" applyAlignment="1">
      <alignment horizontal="left" vertical="center"/>
    </xf>
    <xf numFmtId="0" fontId="4" fillId="0" borderId="31" xfId="54" applyFont="1" applyBorder="1" applyAlignment="1">
      <alignment horizontal="center" vertical="center"/>
    </xf>
    <xf numFmtId="0" fontId="4" fillId="0" borderId="18" xfId="54" applyFont="1" applyBorder="1" applyAlignment="1">
      <alignment horizontal="center" vertical="center"/>
    </xf>
    <xf numFmtId="0" fontId="4" fillId="0" borderId="31" xfId="54" applyFont="1" applyBorder="1" applyAlignment="1">
      <alignment horizontal="left" vertical="center"/>
    </xf>
    <xf numFmtId="0" fontId="4" fillId="0" borderId="18" xfId="54" applyFont="1" applyBorder="1" applyAlignment="1">
      <alignment horizontal="left" vertical="center"/>
    </xf>
    <xf numFmtId="4" fontId="4" fillId="0" borderId="31" xfId="54" applyNumberFormat="1" applyFont="1" applyBorder="1" applyAlignment="1">
      <alignment horizontal="right" vertical="center" wrapText="1"/>
    </xf>
    <xf numFmtId="4" fontId="4" fillId="0" borderId="18" xfId="54" applyNumberFormat="1" applyFont="1" applyBorder="1" applyAlignment="1">
      <alignment horizontal="right" vertical="center" wrapText="1"/>
    </xf>
    <xf numFmtId="2" fontId="4" fillId="27" borderId="31" xfId="54" applyNumberFormat="1" applyFont="1" applyFill="1" applyBorder="1" applyAlignment="1">
      <alignment horizontal="center" vertical="center"/>
    </xf>
    <xf numFmtId="2" fontId="4" fillId="27" borderId="18" xfId="54" applyNumberFormat="1" applyFont="1" applyFill="1" applyBorder="1" applyAlignment="1">
      <alignment horizontal="center" vertical="center"/>
    </xf>
    <xf numFmtId="2" fontId="4" fillId="27" borderId="31" xfId="54" applyNumberFormat="1" applyFont="1" applyFill="1" applyBorder="1" applyAlignment="1">
      <alignment horizontal="right" vertical="center"/>
    </xf>
    <xf numFmtId="2" fontId="4" fillId="27" borderId="18" xfId="54" applyNumberFormat="1" applyFont="1" applyFill="1" applyBorder="1" applyAlignment="1">
      <alignment horizontal="right" vertical="center"/>
    </xf>
  </cellXfs>
  <cellStyles count="95">
    <cellStyle name="20% - Akzent1 2" xfId="1" xr:uid="{00000000-0005-0000-0000-000000000000}"/>
    <cellStyle name="20% - Akzent2 2" xfId="2" xr:uid="{00000000-0005-0000-0000-000001000000}"/>
    <cellStyle name="20% - Akzent3 2" xfId="3" xr:uid="{00000000-0005-0000-0000-000002000000}"/>
    <cellStyle name="20% - Akzent4 2" xfId="4" xr:uid="{00000000-0005-0000-0000-000003000000}"/>
    <cellStyle name="20% - Akzent5 2" xfId="5" xr:uid="{00000000-0005-0000-0000-000004000000}"/>
    <cellStyle name="20% - Akzent6 2" xfId="6" xr:uid="{00000000-0005-0000-0000-000005000000}"/>
    <cellStyle name="40% - Akzent1 2" xfId="7" xr:uid="{00000000-0005-0000-0000-000006000000}"/>
    <cellStyle name="40% - Akzent2 2" xfId="8" xr:uid="{00000000-0005-0000-0000-000007000000}"/>
    <cellStyle name="40% - Akzent3 2" xfId="9" xr:uid="{00000000-0005-0000-0000-000008000000}"/>
    <cellStyle name="40% - Akzent4 2" xfId="10" xr:uid="{00000000-0005-0000-0000-000009000000}"/>
    <cellStyle name="40% - Akzent5 2" xfId="11" xr:uid="{00000000-0005-0000-0000-00000A000000}"/>
    <cellStyle name="40% - Akzent6 2" xfId="12" xr:uid="{00000000-0005-0000-0000-00000B000000}"/>
    <cellStyle name="60% - Akzent1 2" xfId="13" xr:uid="{00000000-0005-0000-0000-00000C000000}"/>
    <cellStyle name="60% - Akzent2 2" xfId="14" xr:uid="{00000000-0005-0000-0000-00000D000000}"/>
    <cellStyle name="60% - Akzent3 2" xfId="15" xr:uid="{00000000-0005-0000-0000-00000E000000}"/>
    <cellStyle name="60% - Akzent4 2" xfId="16" xr:uid="{00000000-0005-0000-0000-00000F000000}"/>
    <cellStyle name="60% - Akzent5 2" xfId="17" xr:uid="{00000000-0005-0000-0000-000010000000}"/>
    <cellStyle name="60% - Akzent6 2" xfId="18" xr:uid="{00000000-0005-0000-0000-000011000000}"/>
    <cellStyle name="Akzent1 2" xfId="19" xr:uid="{00000000-0005-0000-0000-000012000000}"/>
    <cellStyle name="Akzent2 2" xfId="20" xr:uid="{00000000-0005-0000-0000-000013000000}"/>
    <cellStyle name="Akzent3 2" xfId="21" xr:uid="{00000000-0005-0000-0000-000014000000}"/>
    <cellStyle name="Akzent4 2" xfId="22" xr:uid="{00000000-0005-0000-0000-000015000000}"/>
    <cellStyle name="Akzent5 2" xfId="23" xr:uid="{00000000-0005-0000-0000-000016000000}"/>
    <cellStyle name="Akzent6 2" xfId="24" xr:uid="{00000000-0005-0000-0000-000017000000}"/>
    <cellStyle name="Ausgabe 2" xfId="25" xr:uid="{00000000-0005-0000-0000-000018000000}"/>
    <cellStyle name="Ausgabe 2 2" xfId="73" xr:uid="{00000000-0005-0000-0000-000019000000}"/>
    <cellStyle name="Ausgabe 2 3" xfId="60" xr:uid="{00000000-0005-0000-0000-00001A000000}"/>
    <cellStyle name="Berechnung 2" xfId="26" xr:uid="{00000000-0005-0000-0000-00001B000000}"/>
    <cellStyle name="Berechnung 2 2" xfId="74" xr:uid="{00000000-0005-0000-0000-00001C000000}"/>
    <cellStyle name="Berechnung 2 3" xfId="61" xr:uid="{00000000-0005-0000-0000-00001D000000}"/>
    <cellStyle name="Eingabe 2" xfId="27" xr:uid="{00000000-0005-0000-0000-00001E000000}"/>
    <cellStyle name="Eingabe 2 2" xfId="75" xr:uid="{00000000-0005-0000-0000-00001F000000}"/>
    <cellStyle name="Eingabe 2 3" xfId="62" xr:uid="{00000000-0005-0000-0000-000020000000}"/>
    <cellStyle name="Ergebnis 2" xfId="28" xr:uid="{00000000-0005-0000-0000-000021000000}"/>
    <cellStyle name="Ergebnis 2 2" xfId="76" xr:uid="{00000000-0005-0000-0000-000022000000}"/>
    <cellStyle name="Ergebnis 2 3" xfId="63" xr:uid="{00000000-0005-0000-0000-000023000000}"/>
    <cellStyle name="Erklärender Text 2" xfId="29" xr:uid="{00000000-0005-0000-0000-000024000000}"/>
    <cellStyle name="Euro" xfId="30" xr:uid="{00000000-0005-0000-0000-000025000000}"/>
    <cellStyle name="Euro 2" xfId="31" xr:uid="{00000000-0005-0000-0000-000026000000}"/>
    <cellStyle name="Euro 2 2" xfId="87" xr:uid="{00000000-0005-0000-0000-000027000000}"/>
    <cellStyle name="Euro 2 3" xfId="78" xr:uid="{00000000-0005-0000-0000-000028000000}"/>
    <cellStyle name="Euro 2 4" xfId="65" xr:uid="{00000000-0005-0000-0000-000029000000}"/>
    <cellStyle name="Euro 3" xfId="32" xr:uid="{00000000-0005-0000-0000-00002A000000}"/>
    <cellStyle name="Euro 3 2" xfId="88" xr:uid="{00000000-0005-0000-0000-00002B000000}"/>
    <cellStyle name="Euro 3 3" xfId="79" xr:uid="{00000000-0005-0000-0000-00002C000000}"/>
    <cellStyle name="Euro 3 4" xfId="66" xr:uid="{00000000-0005-0000-0000-00002D000000}"/>
    <cellStyle name="Euro 4" xfId="86" xr:uid="{00000000-0005-0000-0000-00002E000000}"/>
    <cellStyle name="Euro 5" xfId="77" xr:uid="{00000000-0005-0000-0000-00002F000000}"/>
    <cellStyle name="Euro 6" xfId="64" xr:uid="{00000000-0005-0000-0000-000030000000}"/>
    <cellStyle name="Gut 2" xfId="33" xr:uid="{00000000-0005-0000-0000-000031000000}"/>
    <cellStyle name="Hyperlink 2" xfId="34" xr:uid="{00000000-0005-0000-0000-000032000000}"/>
    <cellStyle name="Hyperlink 2 2" xfId="35" xr:uid="{00000000-0005-0000-0000-000033000000}"/>
    <cellStyle name="Hyperlink 2 2 2" xfId="90" xr:uid="{00000000-0005-0000-0000-000034000000}"/>
    <cellStyle name="Hyperlink 2 2 3" xfId="81" xr:uid="{00000000-0005-0000-0000-000035000000}"/>
    <cellStyle name="Hyperlink 2 2 4" xfId="68" xr:uid="{00000000-0005-0000-0000-000036000000}"/>
    <cellStyle name="Hyperlink 2 3" xfId="89" xr:uid="{00000000-0005-0000-0000-000037000000}"/>
    <cellStyle name="Hyperlink 2 4" xfId="80" xr:uid="{00000000-0005-0000-0000-000038000000}"/>
    <cellStyle name="Hyperlink 2 5" xfId="67" xr:uid="{00000000-0005-0000-0000-000039000000}"/>
    <cellStyle name="Hyperlink 2_Stundenverrechnungssatzkalkulation Unterhalts-Grund-Glasreinigung" xfId="36" xr:uid="{00000000-0005-0000-0000-00003A000000}"/>
    <cellStyle name="Hyperlink_Tabelle1 2" xfId="58" xr:uid="{00000000-0005-0000-0000-00003B000000}"/>
    <cellStyle name="Komma 2" xfId="37" xr:uid="{00000000-0005-0000-0000-00003C000000}"/>
    <cellStyle name="Komma 2 2" xfId="91" xr:uid="{00000000-0005-0000-0000-00003D000000}"/>
    <cellStyle name="Komma 2 3" xfId="82" xr:uid="{00000000-0005-0000-0000-00003E000000}"/>
    <cellStyle name="Komma 2 4" xfId="69" xr:uid="{00000000-0005-0000-0000-00003F000000}"/>
    <cellStyle name="Link" xfId="38" builtinId="8"/>
    <cellStyle name="Link 2" xfId="59" xr:uid="{00000000-0005-0000-0000-000041000000}"/>
    <cellStyle name="Link 3" xfId="55" xr:uid="{00000000-0005-0000-0000-000042000000}"/>
    <cellStyle name="Neutral 2" xfId="39" xr:uid="{00000000-0005-0000-0000-000043000000}"/>
    <cellStyle name="Notiz 2" xfId="40" xr:uid="{00000000-0005-0000-0000-000044000000}"/>
    <cellStyle name="Notiz 2 2" xfId="92" xr:uid="{00000000-0005-0000-0000-000045000000}"/>
    <cellStyle name="Notiz 2 3" xfId="83" xr:uid="{00000000-0005-0000-0000-000046000000}"/>
    <cellStyle name="Notiz 2 4" xfId="70" xr:uid="{00000000-0005-0000-0000-000047000000}"/>
    <cellStyle name="Schlecht 2" xfId="41" xr:uid="{00000000-0005-0000-0000-000048000000}"/>
    <cellStyle name="Standard" xfId="0" builtinId="0"/>
    <cellStyle name="Standard 2" xfId="42" xr:uid="{00000000-0005-0000-0000-00004A000000}"/>
    <cellStyle name="Standard 2 2" xfId="54" xr:uid="{00000000-0005-0000-0000-00004B000000}"/>
    <cellStyle name="Standard 3" xfId="43" xr:uid="{00000000-0005-0000-0000-00004C000000}"/>
    <cellStyle name="Standard 4" xfId="44" xr:uid="{00000000-0005-0000-0000-00004D000000}"/>
    <cellStyle name="Standard 4 2" xfId="93" xr:uid="{00000000-0005-0000-0000-00004E000000}"/>
    <cellStyle name="Standard 4 3" xfId="84" xr:uid="{00000000-0005-0000-0000-00004F000000}"/>
    <cellStyle name="Standard 4 4" xfId="71" xr:uid="{00000000-0005-0000-0000-000050000000}"/>
    <cellStyle name="Standard 5" xfId="45" xr:uid="{00000000-0005-0000-0000-000051000000}"/>
    <cellStyle name="Standard 5 2" xfId="94" xr:uid="{00000000-0005-0000-0000-000052000000}"/>
    <cellStyle name="Standard 5 3" xfId="85" xr:uid="{00000000-0005-0000-0000-000053000000}"/>
    <cellStyle name="Standard 5 4" xfId="72" xr:uid="{00000000-0005-0000-0000-000054000000}"/>
    <cellStyle name="Standard 6" xfId="57" xr:uid="{00000000-0005-0000-0000-000055000000}"/>
    <cellStyle name="Standard 7" xfId="56" xr:uid="{00000000-0005-0000-0000-000056000000}"/>
    <cellStyle name="Überschrift 1 2" xfId="46" xr:uid="{00000000-0005-0000-0000-000057000000}"/>
    <cellStyle name="Überschrift 2 2" xfId="47" xr:uid="{00000000-0005-0000-0000-000058000000}"/>
    <cellStyle name="Überschrift 3 2" xfId="48" xr:uid="{00000000-0005-0000-0000-000059000000}"/>
    <cellStyle name="Überschrift 4 2" xfId="49" xr:uid="{00000000-0005-0000-0000-00005A000000}"/>
    <cellStyle name="Überschrift 5" xfId="50" xr:uid="{00000000-0005-0000-0000-00005B000000}"/>
    <cellStyle name="Verknüpfte Zelle 2" xfId="51" xr:uid="{00000000-0005-0000-0000-00005C000000}"/>
    <cellStyle name="Warnender Text 2" xfId="52" xr:uid="{00000000-0005-0000-0000-00005D000000}"/>
    <cellStyle name="Zelle überprüfen 2" xfId="53" xr:uid="{00000000-0005-0000-0000-00005E000000}"/>
  </cellStyles>
  <dxfs count="73">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72"/>
      <tableStyleElement type="headerRow" dxfId="71"/>
    </tableStyle>
  </tableStyles>
  <colors>
    <mruColors>
      <color rgb="FF66FF66"/>
      <color rgb="FF6699FF"/>
      <color rgb="FF66CCFF"/>
      <color rgb="FF0099FF"/>
      <color rgb="FFFF0000"/>
      <color rgb="FFABFFAB"/>
      <color rgb="FF99FF99"/>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H3" lockText="1"/>
</file>

<file path=xl/ctrlProps/ctrlProp10.xml><?xml version="1.0" encoding="utf-8"?>
<formControlPr xmlns="http://schemas.microsoft.com/office/spreadsheetml/2009/9/main" objectType="CheckBox" fmlaLink="M3" lockText="1"/>
</file>

<file path=xl/ctrlProps/ctrlProp11.xml><?xml version="1.0" encoding="utf-8"?>
<formControlPr xmlns="http://schemas.microsoft.com/office/spreadsheetml/2009/9/main" objectType="CheckBox" fmlaLink="M4" lockText="1"/>
</file>

<file path=xl/ctrlProps/ctrlProp12.xml><?xml version="1.0" encoding="utf-8"?>
<formControlPr xmlns="http://schemas.microsoft.com/office/spreadsheetml/2009/9/main" objectType="CheckBox" fmlaLink="M5" lockText="1"/>
</file>

<file path=xl/ctrlProps/ctrlProp13.xml><?xml version="1.0" encoding="utf-8"?>
<formControlPr xmlns="http://schemas.microsoft.com/office/spreadsheetml/2009/9/main" objectType="CheckBox" fmlaLink="M2" lockText="1"/>
</file>

<file path=xl/ctrlProps/ctrlProp14.xml><?xml version="1.0" encoding="utf-8"?>
<formControlPr xmlns="http://schemas.microsoft.com/office/spreadsheetml/2009/9/main" objectType="CheckBox" fmlaLink="M3" lockText="1"/>
</file>

<file path=xl/ctrlProps/ctrlProp15.xml><?xml version="1.0" encoding="utf-8"?>
<formControlPr xmlns="http://schemas.microsoft.com/office/spreadsheetml/2009/9/main" objectType="CheckBox" fmlaLink="M4" lockText="1"/>
</file>

<file path=xl/ctrlProps/ctrlProp16.xml><?xml version="1.0" encoding="utf-8"?>
<formControlPr xmlns="http://schemas.microsoft.com/office/spreadsheetml/2009/9/main" objectType="CheckBox" fmlaLink="M5" lockText="1"/>
</file>

<file path=xl/ctrlProps/ctrlProp17.xml><?xml version="1.0" encoding="utf-8"?>
<formControlPr xmlns="http://schemas.microsoft.com/office/spreadsheetml/2009/9/main" objectType="CheckBox" fmlaLink="M2" lockText="1"/>
</file>

<file path=xl/ctrlProps/ctrlProp18.xml><?xml version="1.0" encoding="utf-8"?>
<formControlPr xmlns="http://schemas.microsoft.com/office/spreadsheetml/2009/9/main" objectType="CheckBox" fmlaLink="M3" lockText="1"/>
</file>

<file path=xl/ctrlProps/ctrlProp19.xml><?xml version="1.0" encoding="utf-8"?>
<formControlPr xmlns="http://schemas.microsoft.com/office/spreadsheetml/2009/9/main" objectType="CheckBox" fmlaLink="M4" lockText="1"/>
</file>

<file path=xl/ctrlProps/ctrlProp2.xml><?xml version="1.0" encoding="utf-8"?>
<formControlPr xmlns="http://schemas.microsoft.com/office/spreadsheetml/2009/9/main" objectType="CheckBox" fmlaLink="$H$4" lockText="1"/>
</file>

<file path=xl/ctrlProps/ctrlProp20.xml><?xml version="1.0" encoding="utf-8"?>
<formControlPr xmlns="http://schemas.microsoft.com/office/spreadsheetml/2009/9/main" objectType="CheckBox" fmlaLink="M5" lockText="1"/>
</file>

<file path=xl/ctrlProps/ctrlProp21.xml><?xml version="1.0" encoding="utf-8"?>
<formControlPr xmlns="http://schemas.microsoft.com/office/spreadsheetml/2009/9/main" objectType="CheckBox" fmlaLink="M2" lockText="1"/>
</file>

<file path=xl/ctrlProps/ctrlProp22.xml><?xml version="1.0" encoding="utf-8"?>
<formControlPr xmlns="http://schemas.microsoft.com/office/spreadsheetml/2009/9/main" objectType="CheckBox" fmlaLink="M3" lockText="1"/>
</file>

<file path=xl/ctrlProps/ctrlProp23.xml><?xml version="1.0" encoding="utf-8"?>
<formControlPr xmlns="http://schemas.microsoft.com/office/spreadsheetml/2009/9/main" objectType="CheckBox" fmlaLink="M4" lockText="1"/>
</file>

<file path=xl/ctrlProps/ctrlProp24.xml><?xml version="1.0" encoding="utf-8"?>
<formControlPr xmlns="http://schemas.microsoft.com/office/spreadsheetml/2009/9/main" objectType="CheckBox" fmlaLink="M5" lockText="1"/>
</file>

<file path=xl/ctrlProps/ctrlProp25.xml><?xml version="1.0" encoding="utf-8"?>
<formControlPr xmlns="http://schemas.microsoft.com/office/spreadsheetml/2009/9/main" objectType="CheckBox" fmlaLink="M2" lockText="1"/>
</file>

<file path=xl/ctrlProps/ctrlProp26.xml><?xml version="1.0" encoding="utf-8"?>
<formControlPr xmlns="http://schemas.microsoft.com/office/spreadsheetml/2009/9/main" objectType="CheckBox" fmlaLink="M3" lockText="1"/>
</file>

<file path=xl/ctrlProps/ctrlProp27.xml><?xml version="1.0" encoding="utf-8"?>
<formControlPr xmlns="http://schemas.microsoft.com/office/spreadsheetml/2009/9/main" objectType="CheckBox" fmlaLink="M4" lockText="1"/>
</file>

<file path=xl/ctrlProps/ctrlProp28.xml><?xml version="1.0" encoding="utf-8"?>
<formControlPr xmlns="http://schemas.microsoft.com/office/spreadsheetml/2009/9/main" objectType="CheckBox" fmlaLink="M5" lockText="1"/>
</file>

<file path=xl/ctrlProps/ctrlProp29.xml><?xml version="1.0" encoding="utf-8"?>
<formControlPr xmlns="http://schemas.microsoft.com/office/spreadsheetml/2009/9/main" objectType="CheckBox" fmlaLink="M2" lockText="1"/>
</file>

<file path=xl/ctrlProps/ctrlProp3.xml><?xml version="1.0" encoding="utf-8"?>
<formControlPr xmlns="http://schemas.microsoft.com/office/spreadsheetml/2009/9/main" objectType="CheckBox" fmlaLink="$H$5" lockText="1"/>
</file>

<file path=xl/ctrlProps/ctrlProp30.xml><?xml version="1.0" encoding="utf-8"?>
<formControlPr xmlns="http://schemas.microsoft.com/office/spreadsheetml/2009/9/main" objectType="CheckBox" fmlaLink="M3" lockText="1"/>
</file>

<file path=xl/ctrlProps/ctrlProp31.xml><?xml version="1.0" encoding="utf-8"?>
<formControlPr xmlns="http://schemas.microsoft.com/office/spreadsheetml/2009/9/main" objectType="CheckBox" fmlaLink="M4" lockText="1"/>
</file>

<file path=xl/ctrlProps/ctrlProp32.xml><?xml version="1.0" encoding="utf-8"?>
<formControlPr xmlns="http://schemas.microsoft.com/office/spreadsheetml/2009/9/main" objectType="CheckBox" fmlaLink="M5" lockText="1"/>
</file>

<file path=xl/ctrlProps/ctrlProp33.xml><?xml version="1.0" encoding="utf-8"?>
<formControlPr xmlns="http://schemas.microsoft.com/office/spreadsheetml/2009/9/main" objectType="CheckBox" fmlaLink="M2" lockText="1"/>
</file>

<file path=xl/ctrlProps/ctrlProp34.xml><?xml version="1.0" encoding="utf-8"?>
<formControlPr xmlns="http://schemas.microsoft.com/office/spreadsheetml/2009/9/main" objectType="CheckBox" fmlaLink="M3" lockText="1"/>
</file>

<file path=xl/ctrlProps/ctrlProp35.xml><?xml version="1.0" encoding="utf-8"?>
<formControlPr xmlns="http://schemas.microsoft.com/office/spreadsheetml/2009/9/main" objectType="CheckBox" fmlaLink="M4" lockText="1"/>
</file>

<file path=xl/ctrlProps/ctrlProp36.xml><?xml version="1.0" encoding="utf-8"?>
<formControlPr xmlns="http://schemas.microsoft.com/office/spreadsheetml/2009/9/main" objectType="CheckBox" fmlaLink="M5" lockText="1"/>
</file>

<file path=xl/ctrlProps/ctrlProp37.xml><?xml version="1.0" encoding="utf-8"?>
<formControlPr xmlns="http://schemas.microsoft.com/office/spreadsheetml/2009/9/main" objectType="CheckBox" fmlaLink="M2" lockText="1"/>
</file>

<file path=xl/ctrlProps/ctrlProp38.xml><?xml version="1.0" encoding="utf-8"?>
<formControlPr xmlns="http://schemas.microsoft.com/office/spreadsheetml/2009/9/main" objectType="CheckBox" fmlaLink="M3" lockText="1"/>
</file>

<file path=xl/ctrlProps/ctrlProp39.xml><?xml version="1.0" encoding="utf-8"?>
<formControlPr xmlns="http://schemas.microsoft.com/office/spreadsheetml/2009/9/main" objectType="CheckBox" fmlaLink="M4" lockText="1"/>
</file>

<file path=xl/ctrlProps/ctrlProp4.xml><?xml version="1.0" encoding="utf-8"?>
<formControlPr xmlns="http://schemas.microsoft.com/office/spreadsheetml/2009/9/main" objectType="CheckBox" fmlaLink="B2" lockText="1"/>
</file>

<file path=xl/ctrlProps/ctrlProp40.xml><?xml version="1.0" encoding="utf-8"?>
<formControlPr xmlns="http://schemas.microsoft.com/office/spreadsheetml/2009/9/main" objectType="CheckBox" fmlaLink="M5" lockText="1"/>
</file>

<file path=xl/ctrlProps/ctrlProp41.xml><?xml version="1.0" encoding="utf-8"?>
<formControlPr xmlns="http://schemas.microsoft.com/office/spreadsheetml/2009/9/main" objectType="CheckBox" fmlaLink="M2" lockText="1"/>
</file>

<file path=xl/ctrlProps/ctrlProp42.xml><?xml version="1.0" encoding="utf-8"?>
<formControlPr xmlns="http://schemas.microsoft.com/office/spreadsheetml/2009/9/main" objectType="CheckBox" fmlaLink="M3" lockText="1"/>
</file>

<file path=xl/ctrlProps/ctrlProp43.xml><?xml version="1.0" encoding="utf-8"?>
<formControlPr xmlns="http://schemas.microsoft.com/office/spreadsheetml/2009/9/main" objectType="CheckBox" fmlaLink="M4" lockText="1"/>
</file>

<file path=xl/ctrlProps/ctrlProp44.xml><?xml version="1.0" encoding="utf-8"?>
<formControlPr xmlns="http://schemas.microsoft.com/office/spreadsheetml/2009/9/main" objectType="CheckBox" fmlaLink="M5" lockText="1"/>
</file>

<file path=xl/ctrlProps/ctrlProp45.xml><?xml version="1.0" encoding="utf-8"?>
<formControlPr xmlns="http://schemas.microsoft.com/office/spreadsheetml/2009/9/main" objectType="CheckBox" fmlaLink="D2" lockText="1"/>
</file>

<file path=xl/ctrlProps/ctrlProp46.xml><?xml version="1.0" encoding="utf-8"?>
<formControlPr xmlns="http://schemas.microsoft.com/office/spreadsheetml/2009/9/main" objectType="CheckBox" fmlaLink="D3" lockText="1"/>
</file>

<file path=xl/ctrlProps/ctrlProp47.xml><?xml version="1.0" encoding="utf-8"?>
<formControlPr xmlns="http://schemas.microsoft.com/office/spreadsheetml/2009/9/main" objectType="CheckBox" fmlaLink="G1" lockText="1"/>
</file>

<file path=xl/ctrlProps/ctrlProp48.xml><?xml version="1.0" encoding="utf-8"?>
<formControlPr xmlns="http://schemas.microsoft.com/office/spreadsheetml/2009/9/main" objectType="CheckBox" fmlaLink="C2" lockText="1"/>
</file>

<file path=xl/ctrlProps/ctrlProp49.xml><?xml version="1.0" encoding="utf-8"?>
<formControlPr xmlns="http://schemas.microsoft.com/office/spreadsheetml/2009/9/main" objectType="CheckBox" fmlaLink="D1" lockText="1"/>
</file>

<file path=xl/ctrlProps/ctrlProp5.xml><?xml version="1.0" encoding="utf-8"?>
<formControlPr xmlns="http://schemas.microsoft.com/office/spreadsheetml/2009/9/main" objectType="CheckBox" fmlaLink="D1" lockText="1"/>
</file>

<file path=xl/ctrlProps/ctrlProp6.xml><?xml version="1.0" encoding="utf-8"?>
<formControlPr xmlns="http://schemas.microsoft.com/office/spreadsheetml/2009/9/main" objectType="CheckBox" fmlaLink="D2" lockText="1"/>
</file>

<file path=xl/ctrlProps/ctrlProp7.xml><?xml version="1.0" encoding="utf-8"?>
<formControlPr xmlns="http://schemas.microsoft.com/office/spreadsheetml/2009/9/main" objectType="CheckBox" fmlaLink="D1" lockText="1"/>
</file>

<file path=xl/ctrlProps/ctrlProp8.xml><?xml version="1.0" encoding="utf-8"?>
<formControlPr xmlns="http://schemas.microsoft.com/office/spreadsheetml/2009/9/main" objectType="CheckBox" fmlaLink="D2" lockText="1"/>
</file>

<file path=xl/ctrlProps/ctrlProp9.xml><?xml version="1.0" encoding="utf-8"?>
<formControlPr xmlns="http://schemas.microsoft.com/office/spreadsheetml/2009/9/main" objectType="CheckBox" fmlaLink="M2"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790575</xdr:colOff>
          <xdr:row>3</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790575</xdr:colOff>
          <xdr:row>4</xdr:row>
          <xdr:rowOff>28575</xdr:rowOff>
        </xdr:to>
        <xdr:sp macro="" textlink="">
          <xdr:nvSpPr>
            <xdr:cNvPr id="1026" name="Check Box 2" descr="Hinweis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19050</xdr:rowOff>
        </xdr:from>
        <xdr:to>
          <xdr:col>7</xdr:col>
          <xdr:colOff>790575</xdr:colOff>
          <xdr:row>5</xdr:row>
          <xdr:rowOff>57150</xdr:rowOff>
        </xdr:to>
        <xdr:sp macro="" textlink="">
          <xdr:nvSpPr>
            <xdr:cNvPr id="1027" name="Check Box 3" descr="Hinweis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900-0000018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100354" name="Check Box 2" descr="Hinweis 2" hidden="1">
              <a:extLst>
                <a:ext uri="{63B3BB69-23CF-44E3-9099-C40C66FF867C}">
                  <a14:compatExt spid="_x0000_s100354"/>
                </a:ext>
                <a:ext uri="{FF2B5EF4-FFF2-40B4-BE49-F238E27FC236}">
                  <a16:creationId xmlns:a16="http://schemas.microsoft.com/office/drawing/2014/main" id="{00000000-0008-0000-0900-0000028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100355" name="Check Box 3" descr="Hinweis 3" hidden="1">
              <a:extLst>
                <a:ext uri="{63B3BB69-23CF-44E3-9099-C40C66FF867C}">
                  <a14:compatExt spid="_x0000_s100355"/>
                </a:ext>
                <a:ext uri="{FF2B5EF4-FFF2-40B4-BE49-F238E27FC236}">
                  <a16:creationId xmlns:a16="http://schemas.microsoft.com/office/drawing/2014/main" id="{00000000-0008-0000-0900-0000038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100356" name="Check Box 4" descr="Hinweis 3" hidden="1">
              <a:extLst>
                <a:ext uri="{63B3BB69-23CF-44E3-9099-C40C66FF867C}">
                  <a14:compatExt spid="_x0000_s100356"/>
                </a:ext>
                <a:ext uri="{FF2B5EF4-FFF2-40B4-BE49-F238E27FC236}">
                  <a16:creationId xmlns:a16="http://schemas.microsoft.com/office/drawing/2014/main" id="{00000000-0008-0000-0900-0000048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94209" name="Check Box 1" hidden="1">
              <a:extLst>
                <a:ext uri="{63B3BB69-23CF-44E3-9099-C40C66FF867C}">
                  <a14:compatExt spid="_x0000_s94209"/>
                </a:ext>
                <a:ext uri="{FF2B5EF4-FFF2-40B4-BE49-F238E27FC236}">
                  <a16:creationId xmlns:a16="http://schemas.microsoft.com/office/drawing/2014/main" id="{00000000-0008-0000-0A00-0000017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94210" name="Check Box 2" descr="Hinweis 2" hidden="1">
              <a:extLst>
                <a:ext uri="{63B3BB69-23CF-44E3-9099-C40C66FF867C}">
                  <a14:compatExt spid="_x0000_s94210"/>
                </a:ext>
                <a:ext uri="{FF2B5EF4-FFF2-40B4-BE49-F238E27FC236}">
                  <a16:creationId xmlns:a16="http://schemas.microsoft.com/office/drawing/2014/main" id="{00000000-0008-0000-0A00-0000027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94211" name="Check Box 3" descr="Hinweis 3" hidden="1">
              <a:extLst>
                <a:ext uri="{63B3BB69-23CF-44E3-9099-C40C66FF867C}">
                  <a14:compatExt spid="_x0000_s94211"/>
                </a:ext>
                <a:ext uri="{FF2B5EF4-FFF2-40B4-BE49-F238E27FC236}">
                  <a16:creationId xmlns:a16="http://schemas.microsoft.com/office/drawing/2014/main" id="{00000000-0008-0000-0A00-0000037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94212" name="Check Box 4" descr="Hinweis 3" hidden="1">
              <a:extLst>
                <a:ext uri="{63B3BB69-23CF-44E3-9099-C40C66FF867C}">
                  <a14:compatExt spid="_x0000_s94212"/>
                </a:ext>
                <a:ext uri="{FF2B5EF4-FFF2-40B4-BE49-F238E27FC236}">
                  <a16:creationId xmlns:a16="http://schemas.microsoft.com/office/drawing/2014/main" id="{00000000-0008-0000-0A00-0000047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B00-0000018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101378" name="Check Box 2" descr="Hinweis 2" hidden="1">
              <a:extLst>
                <a:ext uri="{63B3BB69-23CF-44E3-9099-C40C66FF867C}">
                  <a14:compatExt spid="_x0000_s101378"/>
                </a:ext>
                <a:ext uri="{FF2B5EF4-FFF2-40B4-BE49-F238E27FC236}">
                  <a16:creationId xmlns:a16="http://schemas.microsoft.com/office/drawing/2014/main" id="{00000000-0008-0000-0B00-0000028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101379" name="Check Box 3" descr="Hinweis 3" hidden="1">
              <a:extLst>
                <a:ext uri="{63B3BB69-23CF-44E3-9099-C40C66FF867C}">
                  <a14:compatExt spid="_x0000_s101379"/>
                </a:ext>
                <a:ext uri="{FF2B5EF4-FFF2-40B4-BE49-F238E27FC236}">
                  <a16:creationId xmlns:a16="http://schemas.microsoft.com/office/drawing/2014/main" id="{00000000-0008-0000-0B00-0000038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101380" name="Check Box 4" descr="Hinweis 3" hidden="1">
              <a:extLst>
                <a:ext uri="{63B3BB69-23CF-44E3-9099-C40C66FF867C}">
                  <a14:compatExt spid="_x0000_s101380"/>
                </a:ext>
                <a:ext uri="{FF2B5EF4-FFF2-40B4-BE49-F238E27FC236}">
                  <a16:creationId xmlns:a16="http://schemas.microsoft.com/office/drawing/2014/main" id="{00000000-0008-0000-0B00-0000048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0C00-0000019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103426" name="Check Box 2" descr="Hinweis 2" hidden="1">
              <a:extLst>
                <a:ext uri="{63B3BB69-23CF-44E3-9099-C40C66FF867C}">
                  <a14:compatExt spid="_x0000_s103426"/>
                </a:ext>
                <a:ext uri="{FF2B5EF4-FFF2-40B4-BE49-F238E27FC236}">
                  <a16:creationId xmlns:a16="http://schemas.microsoft.com/office/drawing/2014/main" id="{00000000-0008-0000-0C00-0000029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103427" name="Check Box 3" descr="Hinweis 3" hidden="1">
              <a:extLst>
                <a:ext uri="{63B3BB69-23CF-44E3-9099-C40C66FF867C}">
                  <a14:compatExt spid="_x0000_s103427"/>
                </a:ext>
                <a:ext uri="{FF2B5EF4-FFF2-40B4-BE49-F238E27FC236}">
                  <a16:creationId xmlns:a16="http://schemas.microsoft.com/office/drawing/2014/main" id="{00000000-0008-0000-0C00-0000039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103428" name="Check Box 4" descr="Hinweis 3" hidden="1">
              <a:extLst>
                <a:ext uri="{63B3BB69-23CF-44E3-9099-C40C66FF867C}">
                  <a14:compatExt spid="_x0000_s103428"/>
                </a:ext>
                <a:ext uri="{FF2B5EF4-FFF2-40B4-BE49-F238E27FC236}">
                  <a16:creationId xmlns:a16="http://schemas.microsoft.com/office/drawing/2014/main" id="{00000000-0008-0000-0C00-0000049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xdr:row>
          <xdr:rowOff>114300</xdr:rowOff>
        </xdr:from>
        <xdr:to>
          <xdr:col>3</xdr:col>
          <xdr:colOff>800100</xdr:colOff>
          <xdr:row>2</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D00-000001C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xdr:row>
          <xdr:rowOff>47625</xdr:rowOff>
        </xdr:from>
        <xdr:to>
          <xdr:col>3</xdr:col>
          <xdr:colOff>800100</xdr:colOff>
          <xdr:row>2</xdr:row>
          <xdr:rowOff>276225</xdr:rowOff>
        </xdr:to>
        <xdr:sp macro="" textlink="">
          <xdr:nvSpPr>
            <xdr:cNvPr id="49154" name="Check Box 2" descr="Hinweis 2" hidden="1">
              <a:extLst>
                <a:ext uri="{63B3BB69-23CF-44E3-9099-C40C66FF867C}">
                  <a14:compatExt spid="_x0000_s49154"/>
                </a:ext>
                <a:ext uri="{FF2B5EF4-FFF2-40B4-BE49-F238E27FC236}">
                  <a16:creationId xmlns:a16="http://schemas.microsoft.com/office/drawing/2014/main" id="{00000000-0008-0000-0D00-000002C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0</xdr:row>
          <xdr:rowOff>114300</xdr:rowOff>
        </xdr:from>
        <xdr:to>
          <xdr:col>6</xdr:col>
          <xdr:colOff>838200</xdr:colOff>
          <xdr:row>0</xdr:row>
          <xdr:rowOff>361950</xdr:rowOff>
        </xdr:to>
        <xdr:sp macro="" textlink="">
          <xdr:nvSpPr>
            <xdr:cNvPr id="40962" name="Check Box 2" descr="Hinweis" hidden="1">
              <a:extLst>
                <a:ext uri="{63B3BB69-23CF-44E3-9099-C40C66FF867C}">
                  <a14:compatExt spid="_x0000_s40962"/>
                </a:ext>
                <a:ext uri="{FF2B5EF4-FFF2-40B4-BE49-F238E27FC236}">
                  <a16:creationId xmlns:a16="http://schemas.microsoft.com/office/drawing/2014/main" id="{00000000-0008-0000-0E00-000002A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952500</xdr:colOff>
          <xdr:row>1</xdr:row>
          <xdr:rowOff>47625</xdr:rowOff>
        </xdr:from>
        <xdr:to>
          <xdr:col>2</xdr:col>
          <xdr:colOff>1733550</xdr:colOff>
          <xdr:row>1</xdr:row>
          <xdr:rowOff>295275</xdr:rowOff>
        </xdr:to>
        <xdr:sp macro="" textlink="">
          <xdr:nvSpPr>
            <xdr:cNvPr id="39940" name="Check Box 4" descr="Hinweis" hidden="1">
              <a:extLst>
                <a:ext uri="{63B3BB69-23CF-44E3-9099-C40C66FF867C}">
                  <a14:compatExt spid="_x0000_s39940"/>
                </a:ext>
                <a:ext uri="{FF2B5EF4-FFF2-40B4-BE49-F238E27FC236}">
                  <a16:creationId xmlns:a16="http://schemas.microsoft.com/office/drawing/2014/main" id="{00000000-0008-0000-0F00-0000049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0</xdr:row>
          <xdr:rowOff>142875</xdr:rowOff>
        </xdr:from>
        <xdr:to>
          <xdr:col>3</xdr:col>
          <xdr:colOff>771525</xdr:colOff>
          <xdr:row>0</xdr:row>
          <xdr:rowOff>390525</xdr:rowOff>
        </xdr:to>
        <xdr:sp macro="" textlink="">
          <xdr:nvSpPr>
            <xdr:cNvPr id="41985" name="Check Box 1" descr="Hinweis" hidden="1">
              <a:extLst>
                <a:ext uri="{63B3BB69-23CF-44E3-9099-C40C66FF867C}">
                  <a14:compatExt spid="_x0000_s41985"/>
                </a:ext>
                <a:ext uri="{FF2B5EF4-FFF2-40B4-BE49-F238E27FC236}">
                  <a16:creationId xmlns:a16="http://schemas.microsoft.com/office/drawing/2014/main" id="{00000000-0008-0000-1000-000001A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xdr:row>
          <xdr:rowOff>28575</xdr:rowOff>
        </xdr:from>
        <xdr:to>
          <xdr:col>1</xdr:col>
          <xdr:colOff>933450</xdr:colOff>
          <xdr:row>1</xdr:row>
          <xdr:rowOff>285750</xdr:rowOff>
        </xdr:to>
        <xdr:sp macro="" textlink="">
          <xdr:nvSpPr>
            <xdr:cNvPr id="2050" name="Check Box 2" descr="Hinweis"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2914650</xdr:colOff>
          <xdr:row>0</xdr:row>
          <xdr:rowOff>123825</xdr:rowOff>
        </xdr:from>
        <xdr:to>
          <xdr:col>3</xdr:col>
          <xdr:colOff>552450</xdr:colOff>
          <xdr:row>0</xdr:row>
          <xdr:rowOff>409575</xdr:rowOff>
        </xdr:to>
        <xdr:sp macro="" textlink="">
          <xdr:nvSpPr>
            <xdr:cNvPr id="26626" name="Check Box 2" descr="Hinweis"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2914650</xdr:colOff>
          <xdr:row>0</xdr:row>
          <xdr:rowOff>428625</xdr:rowOff>
        </xdr:from>
        <xdr:to>
          <xdr:col>3</xdr:col>
          <xdr:colOff>552450</xdr:colOff>
          <xdr:row>1</xdr:row>
          <xdr:rowOff>276225</xdr:rowOff>
        </xdr:to>
        <xdr:sp macro="" textlink="">
          <xdr:nvSpPr>
            <xdr:cNvPr id="26628" name="Check Box 4" descr="Hinweis" hidden="1">
              <a:extLst>
                <a:ext uri="{63B3BB69-23CF-44E3-9099-C40C66FF867C}">
                  <a14:compatExt spid="_x0000_s26628"/>
                </a:ext>
                <a:ext uri="{FF2B5EF4-FFF2-40B4-BE49-F238E27FC236}">
                  <a16:creationId xmlns:a16="http://schemas.microsoft.com/office/drawing/2014/main" id="{00000000-0008-0000-0200-000004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2914650</xdr:colOff>
          <xdr:row>0</xdr:row>
          <xdr:rowOff>95250</xdr:rowOff>
        </xdr:from>
        <xdr:to>
          <xdr:col>3</xdr:col>
          <xdr:colOff>552450</xdr:colOff>
          <xdr:row>0</xdr:row>
          <xdr:rowOff>381000</xdr:rowOff>
        </xdr:to>
        <xdr:sp macro="" textlink="">
          <xdr:nvSpPr>
            <xdr:cNvPr id="27649" name="Check Box 1" descr="Hinweis"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2914650</xdr:colOff>
          <xdr:row>0</xdr:row>
          <xdr:rowOff>400050</xdr:rowOff>
        </xdr:from>
        <xdr:to>
          <xdr:col>3</xdr:col>
          <xdr:colOff>552450</xdr:colOff>
          <xdr:row>1</xdr:row>
          <xdr:rowOff>257175</xdr:rowOff>
        </xdr:to>
        <xdr:sp macro="" textlink="">
          <xdr:nvSpPr>
            <xdr:cNvPr id="27650" name="Check Box 2" descr="Hinweis" hidden="1">
              <a:extLst>
                <a:ext uri="{63B3BB69-23CF-44E3-9099-C40C66FF867C}">
                  <a14:compatExt spid="_x0000_s27650"/>
                </a:ext>
                <a:ext uri="{FF2B5EF4-FFF2-40B4-BE49-F238E27FC236}">
                  <a16:creationId xmlns:a16="http://schemas.microsoft.com/office/drawing/2014/main" id="{00000000-0008-0000-0300-000002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400-000001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89090" name="Check Box 2" descr="Hinweis 2" hidden="1">
              <a:extLst>
                <a:ext uri="{63B3BB69-23CF-44E3-9099-C40C66FF867C}">
                  <a14:compatExt spid="_x0000_s89090"/>
                </a:ext>
                <a:ext uri="{FF2B5EF4-FFF2-40B4-BE49-F238E27FC236}">
                  <a16:creationId xmlns:a16="http://schemas.microsoft.com/office/drawing/2014/main" id="{00000000-0008-0000-0400-000002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89091" name="Check Box 3" descr="Hinweis 3" hidden="1">
              <a:extLst>
                <a:ext uri="{63B3BB69-23CF-44E3-9099-C40C66FF867C}">
                  <a14:compatExt spid="_x0000_s89091"/>
                </a:ext>
                <a:ext uri="{FF2B5EF4-FFF2-40B4-BE49-F238E27FC236}">
                  <a16:creationId xmlns:a16="http://schemas.microsoft.com/office/drawing/2014/main" id="{00000000-0008-0000-0400-000003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89092" name="Check Box 4" descr="Hinweis 3" hidden="1">
              <a:extLst>
                <a:ext uri="{63B3BB69-23CF-44E3-9099-C40C66FF867C}">
                  <a14:compatExt spid="_x0000_s89092"/>
                </a:ext>
                <a:ext uri="{FF2B5EF4-FFF2-40B4-BE49-F238E27FC236}">
                  <a16:creationId xmlns:a16="http://schemas.microsoft.com/office/drawing/2014/main" id="{00000000-0008-0000-0400-000004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0500-0000017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96258" name="Check Box 2" descr="Hinweis 2" hidden="1">
              <a:extLst>
                <a:ext uri="{63B3BB69-23CF-44E3-9099-C40C66FF867C}">
                  <a14:compatExt spid="_x0000_s96258"/>
                </a:ext>
                <a:ext uri="{FF2B5EF4-FFF2-40B4-BE49-F238E27FC236}">
                  <a16:creationId xmlns:a16="http://schemas.microsoft.com/office/drawing/2014/main" id="{00000000-0008-0000-0500-0000027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96259" name="Check Box 3" descr="Hinweis 3" hidden="1">
              <a:extLst>
                <a:ext uri="{63B3BB69-23CF-44E3-9099-C40C66FF867C}">
                  <a14:compatExt spid="_x0000_s96259"/>
                </a:ext>
                <a:ext uri="{FF2B5EF4-FFF2-40B4-BE49-F238E27FC236}">
                  <a16:creationId xmlns:a16="http://schemas.microsoft.com/office/drawing/2014/main" id="{00000000-0008-0000-0500-0000037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96260" name="Check Box 4" descr="Hinweis 3" hidden="1">
              <a:extLst>
                <a:ext uri="{63B3BB69-23CF-44E3-9099-C40C66FF867C}">
                  <a14:compatExt spid="_x0000_s96260"/>
                </a:ext>
                <a:ext uri="{FF2B5EF4-FFF2-40B4-BE49-F238E27FC236}">
                  <a16:creationId xmlns:a16="http://schemas.microsoft.com/office/drawing/2014/main" id="{00000000-0008-0000-0500-0000047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91137" name="Check Box 1" hidden="1">
              <a:extLst>
                <a:ext uri="{63B3BB69-23CF-44E3-9099-C40C66FF867C}">
                  <a14:compatExt spid="_x0000_s91137"/>
                </a:ext>
                <a:ext uri="{FF2B5EF4-FFF2-40B4-BE49-F238E27FC236}">
                  <a16:creationId xmlns:a16="http://schemas.microsoft.com/office/drawing/2014/main" id="{00000000-0008-0000-0600-000001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91138" name="Check Box 2" descr="Hinweis 2" hidden="1">
              <a:extLst>
                <a:ext uri="{63B3BB69-23CF-44E3-9099-C40C66FF867C}">
                  <a14:compatExt spid="_x0000_s91138"/>
                </a:ext>
                <a:ext uri="{FF2B5EF4-FFF2-40B4-BE49-F238E27FC236}">
                  <a16:creationId xmlns:a16="http://schemas.microsoft.com/office/drawing/2014/main" id="{00000000-0008-0000-0600-000002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91139" name="Check Box 3" descr="Hinweis 3" hidden="1">
              <a:extLst>
                <a:ext uri="{63B3BB69-23CF-44E3-9099-C40C66FF867C}">
                  <a14:compatExt spid="_x0000_s91139"/>
                </a:ext>
                <a:ext uri="{FF2B5EF4-FFF2-40B4-BE49-F238E27FC236}">
                  <a16:creationId xmlns:a16="http://schemas.microsoft.com/office/drawing/2014/main" id="{00000000-0008-0000-0600-000003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91140" name="Check Box 4" descr="Hinweis 3" hidden="1">
              <a:extLst>
                <a:ext uri="{63B3BB69-23CF-44E3-9099-C40C66FF867C}">
                  <a14:compatExt spid="_x0000_s91140"/>
                </a:ext>
                <a:ext uri="{FF2B5EF4-FFF2-40B4-BE49-F238E27FC236}">
                  <a16:creationId xmlns:a16="http://schemas.microsoft.com/office/drawing/2014/main" id="{00000000-0008-0000-0600-000004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700-0000018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98306" name="Check Box 2" descr="Hinweis 2" hidden="1">
              <a:extLst>
                <a:ext uri="{63B3BB69-23CF-44E3-9099-C40C66FF867C}">
                  <a14:compatExt spid="_x0000_s98306"/>
                </a:ext>
                <a:ext uri="{FF2B5EF4-FFF2-40B4-BE49-F238E27FC236}">
                  <a16:creationId xmlns:a16="http://schemas.microsoft.com/office/drawing/2014/main" id="{00000000-0008-0000-0700-0000028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98307" name="Check Box 3" descr="Hinweis 3" hidden="1">
              <a:extLst>
                <a:ext uri="{63B3BB69-23CF-44E3-9099-C40C66FF867C}">
                  <a14:compatExt spid="_x0000_s98307"/>
                </a:ext>
                <a:ext uri="{FF2B5EF4-FFF2-40B4-BE49-F238E27FC236}">
                  <a16:creationId xmlns:a16="http://schemas.microsoft.com/office/drawing/2014/main" id="{00000000-0008-0000-0700-0000038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98308" name="Check Box 4" descr="Hinweis 3" hidden="1">
              <a:extLst>
                <a:ext uri="{63B3BB69-23CF-44E3-9099-C40C66FF867C}">
                  <a14:compatExt spid="_x0000_s98308"/>
                </a:ext>
                <a:ext uri="{FF2B5EF4-FFF2-40B4-BE49-F238E27FC236}">
                  <a16:creationId xmlns:a16="http://schemas.microsoft.com/office/drawing/2014/main" id="{00000000-0008-0000-0700-0000048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0800-0000016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93186" name="Check Box 2" descr="Hinweis 2" hidden="1">
              <a:extLst>
                <a:ext uri="{63B3BB69-23CF-44E3-9099-C40C66FF867C}">
                  <a14:compatExt spid="_x0000_s93186"/>
                </a:ext>
                <a:ext uri="{FF2B5EF4-FFF2-40B4-BE49-F238E27FC236}">
                  <a16:creationId xmlns:a16="http://schemas.microsoft.com/office/drawing/2014/main" id="{00000000-0008-0000-0800-0000026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93187" name="Check Box 3" descr="Hinweis 3" hidden="1">
              <a:extLst>
                <a:ext uri="{63B3BB69-23CF-44E3-9099-C40C66FF867C}">
                  <a14:compatExt spid="_x0000_s93187"/>
                </a:ext>
                <a:ext uri="{FF2B5EF4-FFF2-40B4-BE49-F238E27FC236}">
                  <a16:creationId xmlns:a16="http://schemas.microsoft.com/office/drawing/2014/main" id="{00000000-0008-0000-0800-0000036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93188" name="Check Box 4" descr="Hinweis 3" hidden="1">
              <a:extLst>
                <a:ext uri="{63B3BB69-23CF-44E3-9099-C40C66FF867C}">
                  <a14:compatExt spid="_x0000_s93188"/>
                </a:ext>
                <a:ext uri="{FF2B5EF4-FFF2-40B4-BE49-F238E27FC236}">
                  <a16:creationId xmlns:a16="http://schemas.microsoft.com/office/drawing/2014/main" id="{00000000-0008-0000-0800-0000046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32.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36.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40.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4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4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4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2.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6.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24.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2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3" tint="0.59999389629810485"/>
  </sheetPr>
  <dimension ref="A1:L975"/>
  <sheetViews>
    <sheetView showGridLines="0" tabSelected="1" zoomScaleNormal="100" workbookViewId="0">
      <selection activeCell="F6" sqref="F6"/>
    </sheetView>
  </sheetViews>
  <sheetFormatPr baseColWidth="10" defaultColWidth="11.42578125" defaultRowHeight="10.5" x14ac:dyDescent="0.2"/>
  <cols>
    <col min="1" max="1" width="5.28515625" style="4" customWidth="1"/>
    <col min="2" max="2" width="15.5703125" style="5" customWidth="1"/>
    <col min="3" max="3" width="30.42578125" style="5" customWidth="1"/>
    <col min="4" max="4" width="36.85546875" style="4" customWidth="1"/>
    <col min="5" max="5" width="15.28515625" style="16" customWidth="1"/>
    <col min="6" max="7" width="11.5703125" style="4" customWidth="1"/>
    <col min="8" max="8" width="12" style="4" customWidth="1"/>
    <col min="9" max="10" width="11.5703125" style="4" customWidth="1"/>
    <col min="11" max="12" width="12.7109375" style="4" customWidth="1"/>
    <col min="13" max="13" width="11.42578125" style="4" customWidth="1"/>
    <col min="14" max="16384" width="11.42578125" style="4"/>
  </cols>
  <sheetData>
    <row r="1" spans="1:12" x14ac:dyDescent="0.2">
      <c r="A1" s="55"/>
    </row>
    <row r="2" spans="1:12" ht="32.450000000000003" customHeight="1" x14ac:dyDescent="0.2">
      <c r="B2" s="56" t="s">
        <v>91</v>
      </c>
      <c r="G2" s="151" t="s">
        <v>200</v>
      </c>
      <c r="H2" s="151"/>
      <c r="I2" s="150" t="str">
        <f>IF(H3=TRUE,"Tragen Sie in die gelb markierten Felder die Angaben zu Ihrem Unternehmen ein.",IF(H4=TRUE,"Am vorteilhaftesten ist es, wenn Sie die Tabellen in dieser Datei anhand der unteren Reiter systematisch durchklicken. Es sind in allen Tabellen nur die GELBEN Zellen auszufüllen.
Die anderen Zellen sind gesperrt. Sie berechnen sich automatisch. ",IF(H5=TRUE,"Die mit Unterstrichen markierten Bezeichnungen für Tabellen, Zahlen und Texte sind verlinkt. Klicken Sie auf die Links, wenn Sie weitere Informationen in der betreffenden Tabelle suchen. ","")))</f>
        <v/>
      </c>
      <c r="J2" s="150"/>
      <c r="K2" s="150"/>
      <c r="L2" s="150"/>
    </row>
    <row r="3" spans="1:12" ht="15" customHeight="1" x14ac:dyDescent="0.2">
      <c r="B3" s="57" t="s">
        <v>172</v>
      </c>
      <c r="C3" s="111"/>
      <c r="E3" s="57" t="s">
        <v>167</v>
      </c>
      <c r="F3" s="58">
        <v>46357</v>
      </c>
      <c r="G3" s="59"/>
      <c r="H3" s="42" t="b">
        <v>0</v>
      </c>
      <c r="I3" s="150"/>
      <c r="J3" s="150"/>
      <c r="K3" s="150"/>
      <c r="L3" s="150"/>
    </row>
    <row r="4" spans="1:12" ht="15" customHeight="1" x14ac:dyDescent="0.2">
      <c r="B4" s="57" t="s">
        <v>160</v>
      </c>
      <c r="C4" s="111"/>
      <c r="E4" s="57" t="s">
        <v>168</v>
      </c>
      <c r="F4" s="58">
        <v>47817</v>
      </c>
      <c r="G4" s="59"/>
      <c r="H4" s="42" t="b">
        <v>0</v>
      </c>
      <c r="I4" s="150"/>
      <c r="J4" s="150"/>
      <c r="K4" s="150"/>
      <c r="L4" s="150"/>
    </row>
    <row r="5" spans="1:12" ht="15" customHeight="1" x14ac:dyDescent="0.2">
      <c r="B5" s="57" t="s">
        <v>161</v>
      </c>
      <c r="C5" s="111"/>
      <c r="E5" s="57" t="s">
        <v>169</v>
      </c>
      <c r="F5" s="60"/>
      <c r="G5" s="59"/>
      <c r="H5" s="42" t="b">
        <v>0</v>
      </c>
      <c r="I5" s="150"/>
      <c r="J5" s="150"/>
      <c r="K5" s="150"/>
      <c r="L5" s="150"/>
    </row>
    <row r="6" spans="1:12" ht="15" customHeight="1" x14ac:dyDescent="0.2">
      <c r="B6" s="57" t="s">
        <v>162</v>
      </c>
      <c r="C6" s="111"/>
      <c r="E6" s="57" t="s">
        <v>170</v>
      </c>
      <c r="F6" s="58">
        <f>DATE(YEAR($F$4)+$F$5,MONTH($F$4),DAY($F$4))</f>
        <v>47817</v>
      </c>
      <c r="I6" s="150"/>
      <c r="J6" s="150"/>
      <c r="K6" s="150"/>
      <c r="L6" s="150"/>
    </row>
    <row r="7" spans="1:12" ht="15" customHeight="1" x14ac:dyDescent="0.2">
      <c r="B7" s="57" t="s">
        <v>173</v>
      </c>
      <c r="C7" s="111"/>
    </row>
    <row r="8" spans="1:12" ht="15" customHeight="1" x14ac:dyDescent="0.2">
      <c r="B8" s="57" t="s">
        <v>174</v>
      </c>
      <c r="C8" s="111"/>
    </row>
    <row r="9" spans="1:12" ht="15" customHeight="1" x14ac:dyDescent="0.2">
      <c r="B9" s="57" t="s">
        <v>175</v>
      </c>
      <c r="C9" s="111"/>
    </row>
    <row r="10" spans="1:12" ht="15" customHeight="1" x14ac:dyDescent="0.2">
      <c r="B10" s="57" t="s">
        <v>176</v>
      </c>
      <c r="C10" s="111"/>
    </row>
    <row r="11" spans="1:12" ht="15" customHeight="1" x14ac:dyDescent="0.2">
      <c r="B11" s="57" t="s">
        <v>177</v>
      </c>
      <c r="C11" s="111"/>
    </row>
    <row r="12" spans="1:12" ht="24.95" customHeight="1" x14ac:dyDescent="0.2"/>
    <row r="13" spans="1:12" ht="19.899999999999999" customHeight="1" x14ac:dyDescent="0.2">
      <c r="B13" s="139" t="s">
        <v>0</v>
      </c>
      <c r="C13" s="139" t="s">
        <v>588</v>
      </c>
      <c r="E13" s="4"/>
    </row>
    <row r="14" spans="1:12" ht="15" customHeight="1" x14ac:dyDescent="0.2">
      <c r="B14" s="39" t="s">
        <v>568</v>
      </c>
      <c r="E14" s="4"/>
    </row>
    <row r="15" spans="1:12" ht="15" customHeight="1" x14ac:dyDescent="0.2">
      <c r="B15" s="144" t="s">
        <v>569</v>
      </c>
      <c r="C15" s="139" t="s">
        <v>589</v>
      </c>
      <c r="E15" s="4"/>
    </row>
    <row r="16" spans="1:12" ht="15" customHeight="1" x14ac:dyDescent="0.2">
      <c r="B16" s="145" t="s">
        <v>570</v>
      </c>
      <c r="C16" s="146" t="s">
        <v>586</v>
      </c>
      <c r="E16" s="4"/>
    </row>
    <row r="17" spans="2:12" ht="15" customHeight="1" x14ac:dyDescent="0.2">
      <c r="B17" s="6" t="s">
        <v>155</v>
      </c>
      <c r="C17" s="4"/>
      <c r="E17" s="4"/>
    </row>
    <row r="18" spans="2:12" ht="15" customHeight="1" x14ac:dyDescent="0.2">
      <c r="B18" s="4"/>
      <c r="C18" s="4"/>
      <c r="E18" s="4"/>
    </row>
    <row r="19" spans="2:12" ht="90" customHeight="1" x14ac:dyDescent="0.2">
      <c r="B19" s="2" t="s">
        <v>178</v>
      </c>
      <c r="C19" s="2" t="s">
        <v>179</v>
      </c>
      <c r="D19" s="2" t="s">
        <v>180</v>
      </c>
      <c r="E19" s="2" t="s">
        <v>577</v>
      </c>
      <c r="F19" s="2" t="s">
        <v>558</v>
      </c>
      <c r="G19" s="2" t="s">
        <v>560</v>
      </c>
      <c r="H19" s="2" t="s">
        <v>561</v>
      </c>
      <c r="I19" s="2" t="s">
        <v>563</v>
      </c>
      <c r="J19" s="2" t="s">
        <v>562</v>
      </c>
      <c r="K19" s="2" t="s">
        <v>571</v>
      </c>
      <c r="L19" s="2" t="s">
        <v>572</v>
      </c>
    </row>
    <row r="20" spans="2:12" ht="15" customHeight="1" x14ac:dyDescent="0.2">
      <c r="B20" s="61" t="s">
        <v>203</v>
      </c>
      <c r="C20" s="61" t="s">
        <v>205</v>
      </c>
      <c r="D20" s="61" t="s">
        <v>206</v>
      </c>
      <c r="E20" s="62"/>
      <c r="F20" s="40">
        <f ca="1">'Kal Unter PvH AL1'!Q21</f>
        <v>0</v>
      </c>
      <c r="G20" s="40">
        <f>'Kal Grund PvH AL1'!Q21</f>
        <v>0</v>
      </c>
      <c r="H20" s="63"/>
      <c r="I20" s="40">
        <f>SUMIF('Kal Verbrauch Gesamt'!$B$5:$B7,$B$20,'Kal Verbrauch Gesamt'!$G$5:$G7)</f>
        <v>0</v>
      </c>
      <c r="J20" s="40">
        <f ca="1">SUMIF('Kal TeilRG Gesamt'!$B$5:$B7,$B$20,'Kal TeilRG Gesamt'!$L$5:$L7)</f>
        <v>0</v>
      </c>
      <c r="K20" s="41">
        <f ca="1">ROUND(SUM($F$20:$J$20),2)</f>
        <v>0</v>
      </c>
      <c r="L20" s="41">
        <f ca="1">ROUND($K$20* 1.19,2)</f>
        <v>0</v>
      </c>
    </row>
    <row r="21" spans="2:12" ht="15" customHeight="1" x14ac:dyDescent="0.2">
      <c r="B21" s="61" t="s">
        <v>211</v>
      </c>
      <c r="C21" s="61" t="s">
        <v>205</v>
      </c>
      <c r="D21" s="61" t="s">
        <v>212</v>
      </c>
      <c r="E21" s="62"/>
      <c r="F21" s="40">
        <f>'Kal Unter PvH grSchulgeb'!Q21</f>
        <v>0</v>
      </c>
      <c r="G21" s="40">
        <f>'Kal Grund PvH grSchulgeb'!Q21</f>
        <v>0</v>
      </c>
      <c r="H21" s="40">
        <f>SUMIF('Kal Rohre u Balken Gesamt'!$B$5:$B5,$B$21,'Kal Rohre u Balken Gesamt'!$K$5:$K5)</f>
        <v>0</v>
      </c>
      <c r="I21" s="63"/>
      <c r="J21" s="63"/>
      <c r="K21" s="41">
        <f>ROUND(SUM($F$21:$J$21),2)</f>
        <v>0</v>
      </c>
      <c r="L21" s="41">
        <f>ROUND($K$21* 1.19,2)</f>
        <v>0</v>
      </c>
    </row>
    <row r="22" spans="2:12" ht="15" customHeight="1" x14ac:dyDescent="0.2">
      <c r="B22" s="61" t="s">
        <v>214</v>
      </c>
      <c r="C22" s="61" t="s">
        <v>205</v>
      </c>
      <c r="D22" s="61" t="s">
        <v>215</v>
      </c>
      <c r="E22" s="62"/>
      <c r="F22" s="40">
        <f>'Kal Unter PvH SH'!Q21</f>
        <v>0</v>
      </c>
      <c r="G22" s="40">
        <f>'Kal Grund PvH SH'!Q21</f>
        <v>0</v>
      </c>
      <c r="H22" s="63"/>
      <c r="I22" s="63"/>
      <c r="J22" s="63"/>
      <c r="K22" s="41">
        <f>ROUND(SUM($F$22:$J$22),2)</f>
        <v>0</v>
      </c>
      <c r="L22" s="41">
        <f>ROUND($K$22* 1.19,2)</f>
        <v>0</v>
      </c>
    </row>
    <row r="23" spans="2:12" ht="15" customHeight="1" x14ac:dyDescent="0.2">
      <c r="B23" s="61" t="s">
        <v>216</v>
      </c>
      <c r="C23" s="61" t="s">
        <v>205</v>
      </c>
      <c r="D23" s="61" t="s">
        <v>217</v>
      </c>
      <c r="E23" s="62"/>
      <c r="F23" s="40">
        <f>'Kal Unter PvH soz Gruppe'!Q21</f>
        <v>0</v>
      </c>
      <c r="G23" s="40">
        <f>'Kal Grund PvH soz Gruppe'!Q21</f>
        <v>0</v>
      </c>
      <c r="H23" s="63"/>
      <c r="I23" s="63"/>
      <c r="J23" s="63"/>
      <c r="K23" s="41">
        <f>ROUND(SUM($F$23:$J$23),2)</f>
        <v>0</v>
      </c>
      <c r="L23" s="41">
        <f>ROUND($K$23* 1.19,2)</f>
        <v>0</v>
      </c>
    </row>
    <row r="24" spans="2:12" ht="15" customHeight="1" x14ac:dyDescent="0.2"/>
    <row r="25" spans="2:12" ht="15" customHeight="1" x14ac:dyDescent="0.2"/>
    <row r="26" spans="2:12" ht="15" customHeight="1" x14ac:dyDescent="0.2"/>
    <row r="27" spans="2:12" ht="15" customHeight="1" x14ac:dyDescent="0.2"/>
    <row r="28" spans="2:12" ht="15" customHeight="1" x14ac:dyDescent="0.2"/>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sheetData>
  <mergeCells count="2">
    <mergeCell ref="I2:L6"/>
    <mergeCell ref="G2:H2"/>
  </mergeCells>
  <phoneticPr fontId="3" type="noConversion"/>
  <hyperlinks>
    <hyperlink ref="B14" location="'Preisübersicht'!A1" display="Preisübersicht" xr:uid="{00000000-0004-0000-0000-000000000000}"/>
    <hyperlink ref="B15" location="'SVS UnterhaltsRG'!A1" display="SVS UnterhaltsRG" xr:uid="{00000000-0004-0000-0000-000001000000}"/>
    <hyperlink ref="B16" location="'SVS GrundRG'!A1" display="SVS GrundRG" xr:uid="{00000000-0004-0000-0000-000002000000}"/>
    <hyperlink ref="B17" location="'Reinigungstage'!A1" display="Reinigungstage" xr:uid="{00000000-0004-0000-0000-000003000000}"/>
    <hyperlink ref="F20" location="'Kal Unter PvH AL1'!$Q$21" display="'Kal Unter PvH AL1'!$Q$21" xr:uid="{00000000-0004-0000-0000-000004000000}"/>
    <hyperlink ref="F21" location="'Kal Unter PvH grSchulgeb'!$Q$21" display="'Kal Unter PvH grSchulgeb'!$Q$21" xr:uid="{00000000-0004-0000-0000-000006000000}"/>
    <hyperlink ref="F22" location="'Kal Unter PvH SH'!$Q$21" display="'Kal Unter PvH SH'!$Q$21" xr:uid="{00000000-0004-0000-0000-000008000000}"/>
    <hyperlink ref="F23" location="'Kal Unter PvH soz Gruppe'!$Q$21" display="'Kal Unter PvH soz Gruppe'!$Q$21" xr:uid="{00000000-0004-0000-0000-000009000000}"/>
    <hyperlink ref="G20" location="'Kal Grund PvH AL1'!$Q$21" display="'Kal Grund PvH AL1'!$Q$21" xr:uid="{00000000-0004-0000-0000-00000B000000}"/>
    <hyperlink ref="G21" location="'Kal Grund PvH grSchulgeb'!$Q$21" display="'Kal Grund PvH grSchulgeb'!$Q$21" xr:uid="{00000000-0004-0000-0000-00000D000000}"/>
    <hyperlink ref="G22" location="'Kal Grund PvH SH'!$Q$21" display="'Kal Grund PvH SH'!$Q$21" xr:uid="{00000000-0004-0000-0000-00000F000000}"/>
    <hyperlink ref="G23" location="'Kal Grund PvH soz Gruppe'!$Q$21" display="'Kal Grund PvH soz Gruppe'!$Q$21" xr:uid="{00000000-0004-0000-0000-000010000000}"/>
    <hyperlink ref="H21" location="'Kal Rohre u Balken Gesamt'!K5" display="'Kal Rohre u Balken Gesamt'!K5" xr:uid="{00000000-0004-0000-0000-000013000000}"/>
    <hyperlink ref="I20" location="'Kal Verbrauch Gesamt'!G5:G7" display="'Kal Verbrauch Gesamt'!G5:G7" xr:uid="{00000000-0004-0000-0000-000014000000}"/>
    <hyperlink ref="J20" location="'Kal TeilRG Gesamt'!L5" display="'Kal TeilRG Gesamt'!L5" xr:uid="{00000000-0004-0000-0000-000015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0</xdr:colOff>
                    <xdr:row>2</xdr:row>
                    <xdr:rowOff>0</xdr:rowOff>
                  </from>
                  <to>
                    <xdr:col>7</xdr:col>
                    <xdr:colOff>790575</xdr:colOff>
                    <xdr:row>3</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ltText="Hinweis 2">
                <anchor moveWithCells="1">
                  <from>
                    <xdr:col>7</xdr:col>
                    <xdr:colOff>0</xdr:colOff>
                    <xdr:row>3</xdr:row>
                    <xdr:rowOff>0</xdr:rowOff>
                  </from>
                  <to>
                    <xdr:col>7</xdr:col>
                    <xdr:colOff>790575</xdr:colOff>
                    <xdr:row>4</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ltText="Hinweis 3">
                <anchor moveWithCells="1">
                  <from>
                    <xdr:col>7</xdr:col>
                    <xdr:colOff>0</xdr:colOff>
                    <xdr:row>4</xdr:row>
                    <xdr:rowOff>19050</xdr:rowOff>
                  </from>
                  <to>
                    <xdr:col>7</xdr:col>
                    <xdr:colOff>790575</xdr:colOff>
                    <xdr:row>5</xdr:row>
                    <xdr:rowOff>57150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X68"/>
  <sheetViews>
    <sheetView showGridLines="0" zoomScaleNormal="100" workbookViewId="0">
      <pane ySplit="21" topLeftCell="A67" activePane="bottomLeft" state="frozen"/>
      <selection pane="bottomLeft" activeCell="E58" sqref="E58"/>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1.42578125" style="4" customWidth="1"/>
    <col min="14" max="14" width="9.42578125" style="4" customWidth="1"/>
    <col min="15" max="15" width="8.42578125" style="4" customWidth="1"/>
    <col min="16" max="17" width="11.42578125" style="4" customWidth="1"/>
    <col min="18" max="18" width="10.5703125" style="4" customWidth="1"/>
    <col min="19" max="19" width="25.5703125" style="4" customWidth="1"/>
    <col min="20" max="16384" width="6.42578125" style="4" hidden="1"/>
  </cols>
  <sheetData>
    <row r="1" spans="1:22" ht="15" customHeight="1" x14ac:dyDescent="0.2">
      <c r="M1" s="6" t="s">
        <v>100</v>
      </c>
    </row>
    <row r="2" spans="1:22" ht="20.45" customHeight="1" x14ac:dyDescent="0.2">
      <c r="A2" s="174" t="s">
        <v>158</v>
      </c>
      <c r="B2" s="175"/>
      <c r="C2" s="175"/>
      <c r="D2" s="175"/>
      <c r="E2" s="176"/>
      <c r="G2" s="177" t="s">
        <v>171</v>
      </c>
      <c r="H2" s="177" t="s">
        <v>163</v>
      </c>
      <c r="I2" s="177" t="s">
        <v>164</v>
      </c>
      <c r="J2" s="177" t="s">
        <v>183</v>
      </c>
      <c r="M2" s="80"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2" ht="24" customHeight="1" x14ac:dyDescent="0.2">
      <c r="A3" s="81" t="s">
        <v>166</v>
      </c>
      <c r="B3" s="82"/>
      <c r="C3" s="82"/>
      <c r="D3" s="82"/>
      <c r="E3" s="83"/>
      <c r="G3" s="178"/>
      <c r="H3" s="178"/>
      <c r="I3" s="178"/>
      <c r="J3" s="178"/>
      <c r="M3" s="80" t="b">
        <v>0</v>
      </c>
      <c r="N3" s="150"/>
      <c r="O3" s="150"/>
      <c r="P3" s="150"/>
      <c r="Q3" s="150"/>
    </row>
    <row r="4" spans="1:22" ht="18.600000000000001" customHeight="1" x14ac:dyDescent="0.2">
      <c r="A4" s="172" t="s">
        <v>91</v>
      </c>
      <c r="B4" s="182"/>
      <c r="C4" s="183"/>
      <c r="D4" s="183"/>
      <c r="E4" s="184"/>
      <c r="G4" s="22" t="s">
        <v>266</v>
      </c>
      <c r="H4" s="84"/>
      <c r="I4" s="85">
        <f ca="1">SUMIF('Kal Grund PvH SH'!J22:M68,$G$4,'Kal Grund PvH SH'!M22:M68)</f>
        <v>109.7</v>
      </c>
      <c r="J4" s="60">
        <f>COUNTIFS('Kal Grund PvH SH'!J22:M68,$G$4)</f>
        <v>1</v>
      </c>
      <c r="M4" s="80" t="b">
        <v>0</v>
      </c>
      <c r="N4" s="150"/>
      <c r="O4" s="150"/>
      <c r="P4" s="150"/>
      <c r="Q4" s="150"/>
      <c r="U4" s="22" t="s">
        <v>266</v>
      </c>
      <c r="V4" s="4">
        <v>15</v>
      </c>
    </row>
    <row r="5" spans="1:22" ht="15" customHeight="1" x14ac:dyDescent="0.2">
      <c r="A5" s="173"/>
      <c r="B5" s="185"/>
      <c r="C5" s="186"/>
      <c r="D5" s="186"/>
      <c r="E5" s="187"/>
      <c r="G5" s="22" t="s">
        <v>267</v>
      </c>
      <c r="H5" s="84"/>
      <c r="I5" s="85">
        <f ca="1">SUMIF('Kal Grund PvH SH'!J22:M68,$G$5,'Kal Grund PvH SH'!M22:M68)</f>
        <v>72.11999999999999</v>
      </c>
      <c r="J5" s="60">
        <f>COUNTIFS('Kal Grund PvH SH'!J22:M68,$G$5)</f>
        <v>20</v>
      </c>
      <c r="M5" s="80" t="b">
        <v>0</v>
      </c>
      <c r="N5" s="150"/>
      <c r="O5" s="150"/>
      <c r="P5" s="150"/>
      <c r="Q5" s="150"/>
      <c r="U5" s="22" t="s">
        <v>267</v>
      </c>
      <c r="V5" s="4">
        <v>7</v>
      </c>
    </row>
    <row r="6" spans="1:22" ht="15" customHeight="1" x14ac:dyDescent="0.2">
      <c r="A6" s="142" t="s">
        <v>181</v>
      </c>
      <c r="B6" s="197" t="s">
        <v>586</v>
      </c>
      <c r="C6" s="198"/>
      <c r="D6" s="198"/>
      <c r="E6" s="199"/>
      <c r="G6" s="22" t="s">
        <v>542</v>
      </c>
      <c r="H6" s="84"/>
      <c r="I6" s="85">
        <f ca="1">SUMIF('Kal Grund PvH SH'!J22:M68,$G$6,'Kal Grund PvH SH'!M22:M68)</f>
        <v>925</v>
      </c>
      <c r="J6" s="60">
        <f>COUNTIFS('Kal Grund PvH SH'!J22:M68,$G$6)</f>
        <v>1</v>
      </c>
      <c r="U6" s="22" t="s">
        <v>542</v>
      </c>
      <c r="V6" s="4">
        <v>25.5</v>
      </c>
    </row>
    <row r="7" spans="1:22" ht="15" customHeight="1" x14ac:dyDescent="0.2">
      <c r="A7" s="87" t="s">
        <v>179</v>
      </c>
      <c r="B7" s="191" t="s">
        <v>205</v>
      </c>
      <c r="C7" s="192"/>
      <c r="D7" s="192"/>
      <c r="E7" s="193"/>
      <c r="G7" s="22" t="s">
        <v>268</v>
      </c>
      <c r="H7" s="84"/>
      <c r="I7" s="85">
        <f ca="1">SUMIF('Kal Grund PvH SH'!J22:M68,$G$7,'Kal Grund PvH SH'!M22:M68)</f>
        <v>136.03</v>
      </c>
      <c r="J7" s="60">
        <f>COUNTIFS('Kal Grund PvH SH'!J22:M68,$G$7)</f>
        <v>7</v>
      </c>
      <c r="U7" s="22" t="s">
        <v>268</v>
      </c>
      <c r="V7" s="4">
        <v>20</v>
      </c>
    </row>
    <row r="8" spans="1:22" ht="15" customHeight="1" x14ac:dyDescent="0.2">
      <c r="A8" s="87" t="s">
        <v>180</v>
      </c>
      <c r="B8" s="194" t="s">
        <v>215</v>
      </c>
      <c r="C8" s="192"/>
      <c r="D8" s="192"/>
      <c r="E8" s="193"/>
      <c r="G8" s="22" t="s">
        <v>541</v>
      </c>
      <c r="H8" s="84"/>
      <c r="I8" s="85">
        <f ca="1">SUMIF('Kal Grund PvH SH'!J22:M68,$G$8,'Kal Grund PvH SH'!M22:M68)</f>
        <v>168.60000000000002</v>
      </c>
      <c r="J8" s="60">
        <f>COUNTIFS('Kal Grund PvH SH'!J22:M68,$G$8)</f>
        <v>10</v>
      </c>
      <c r="L8" s="94" t="str">
        <f>IF(N14&gt;0,"Ihre Eintragungen der Leistungswerte liegen weit über den Erfahrungswerten aus der Preisschätzung.","")</f>
        <v/>
      </c>
      <c r="U8" s="22" t="s">
        <v>270</v>
      </c>
      <c r="V8" s="4">
        <v>14</v>
      </c>
    </row>
    <row r="9" spans="1:22" ht="15" customHeight="1" x14ac:dyDescent="0.2">
      <c r="A9" s="86" t="s">
        <v>178</v>
      </c>
      <c r="B9" s="195" t="s">
        <v>214</v>
      </c>
      <c r="C9" s="192"/>
      <c r="D9" s="192"/>
      <c r="E9" s="193"/>
      <c r="G9" s="22" t="s">
        <v>264</v>
      </c>
      <c r="H9" s="84"/>
      <c r="I9" s="85">
        <f ca="1">SUMIF('Kal Grund PvH SH'!J22:M68,$G$9,'Kal Grund PvH SH'!M22:M68)</f>
        <v>178.47</v>
      </c>
      <c r="J9" s="60">
        <f>COUNTIFS('Kal Grund PvH SH'!J22:M68,$G$9)</f>
        <v>8</v>
      </c>
      <c r="L9" s="94" t="str">
        <f>IF(N14&gt;0,"Bitte prüfen Sie diese.","")</f>
        <v/>
      </c>
      <c r="U9" s="22" t="s">
        <v>541</v>
      </c>
      <c r="V9" s="4">
        <v>16.5</v>
      </c>
    </row>
    <row r="10" spans="1:22" ht="15" customHeight="1" x14ac:dyDescent="0.2">
      <c r="A10" s="87" t="s">
        <v>160</v>
      </c>
      <c r="B10" s="194" t="s">
        <v>207</v>
      </c>
      <c r="C10" s="192"/>
      <c r="D10" s="192"/>
      <c r="E10" s="193"/>
      <c r="L10" s="94" t="str">
        <f>IF(N14&gt;0,"Beachten Sie, dass Sie frei in der Kalkulation dieser Leistungswerte sind und wir durch den Hinweis","")</f>
        <v/>
      </c>
      <c r="U10" s="22" t="s">
        <v>264</v>
      </c>
      <c r="V10" s="4">
        <v>24</v>
      </c>
    </row>
    <row r="11" spans="1:22" ht="15" customHeight="1" x14ac:dyDescent="0.2">
      <c r="A11" s="87" t="s">
        <v>161</v>
      </c>
      <c r="B11" s="196" t="s">
        <v>208</v>
      </c>
      <c r="C11" s="192"/>
      <c r="D11" s="192"/>
      <c r="E11" s="193"/>
      <c r="L11" s="94" t="str">
        <f>IF(N14&gt;0,"lediglich Fehleingaben vermeiden wollen.","")</f>
        <v/>
      </c>
    </row>
    <row r="12" spans="1:22" ht="15" customHeight="1" x14ac:dyDescent="0.2">
      <c r="A12" s="87" t="s">
        <v>162</v>
      </c>
      <c r="B12" s="194" t="s">
        <v>209</v>
      </c>
      <c r="C12" s="192"/>
      <c r="D12" s="192"/>
      <c r="E12" s="193"/>
    </row>
    <row r="13" spans="1:22"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2" ht="15" customHeight="1" x14ac:dyDescent="0.2">
      <c r="N14" s="98">
        <f>COUNTIF(X22:X$68,1)</f>
        <v>0</v>
      </c>
      <c r="O14" s="4" t="str">
        <f>IF(N14&gt;0,"Wert(e) prüfen.","")</f>
        <v/>
      </c>
      <c r="S14" s="19">
        <f>IF(COUNTA($S$22:$S$68)-COUNTBLANK($S$22:$S$68)=0,"",COUNTA($S$22:$S$68)-COUNTBLANK($S$22:$S$68))</f>
        <v>47</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2" t="s">
        <v>92</v>
      </c>
      <c r="B20" s="2" t="s">
        <v>97</v>
      </c>
      <c r="C20" s="2" t="s">
        <v>93</v>
      </c>
      <c r="D20" s="2" t="s">
        <v>94</v>
      </c>
      <c r="E20" s="2" t="s">
        <v>98</v>
      </c>
      <c r="F20" s="2" t="s">
        <v>95</v>
      </c>
      <c r="G20" s="2" t="s">
        <v>115</v>
      </c>
      <c r="H20" s="2" t="s">
        <v>106</v>
      </c>
      <c r="I20" s="2" t="s">
        <v>107</v>
      </c>
      <c r="J20" s="2" t="s">
        <v>99</v>
      </c>
      <c r="K20" s="2" t="s">
        <v>104</v>
      </c>
      <c r="L20" s="2" t="s">
        <v>108</v>
      </c>
      <c r="M20" s="2" t="s">
        <v>109</v>
      </c>
      <c r="N20" s="2" t="s">
        <v>105</v>
      </c>
      <c r="O20" s="2" t="s">
        <v>110</v>
      </c>
      <c r="P20" s="2" t="s">
        <v>111</v>
      </c>
      <c r="Q20" s="2" t="s">
        <v>112</v>
      </c>
      <c r="R20" s="2" t="s">
        <v>134</v>
      </c>
    </row>
    <row r="21" spans="1:24" ht="29.1" customHeight="1" x14ac:dyDescent="0.2">
      <c r="A21" s="88" t="s">
        <v>119</v>
      </c>
      <c r="B21" s="13"/>
      <c r="C21" s="13"/>
      <c r="D21" s="13"/>
      <c r="E21" s="13"/>
      <c r="F21" s="13"/>
      <c r="G21" s="89">
        <f>SUM($G$22:$G$68)</f>
        <v>1589.92</v>
      </c>
      <c r="H21" s="89">
        <f>SUM($H$22:$H$68)</f>
        <v>0</v>
      </c>
      <c r="I21" s="89">
        <f>SUM($I$22:$I$68)</f>
        <v>0</v>
      </c>
      <c r="J21" s="41"/>
      <c r="K21" s="41"/>
      <c r="L21" s="90">
        <f>MAX(L22:L68)</f>
        <v>1</v>
      </c>
      <c r="M21" s="89">
        <f>SUM($M$22:$M$68)</f>
        <v>1589.92</v>
      </c>
      <c r="N21" s="41"/>
      <c r="O21" s="41"/>
      <c r="P21" s="89">
        <f>SUM($P$22:$P$68)</f>
        <v>0</v>
      </c>
      <c r="Q21" s="89">
        <f>SUM($Q$22:$Q$68)</f>
        <v>0</v>
      </c>
      <c r="R21" s="89">
        <f>ROUND(IF(Q21=0,0,Q21/L21),2)</f>
        <v>0</v>
      </c>
    </row>
    <row r="22" spans="1:24" ht="15" customHeight="1" x14ac:dyDescent="0.2">
      <c r="A22" s="22">
        <v>1</v>
      </c>
      <c r="B22" s="91"/>
      <c r="C22" s="92" t="s">
        <v>271</v>
      </c>
      <c r="D22" s="92"/>
      <c r="E22" s="92" t="s">
        <v>495</v>
      </c>
      <c r="F22" s="92" t="s">
        <v>227</v>
      </c>
      <c r="G22" s="62">
        <v>4.7699999999999996</v>
      </c>
      <c r="H22" s="62"/>
      <c r="I22" s="62"/>
      <c r="J22" s="22" t="s">
        <v>264</v>
      </c>
      <c r="K22" s="22" t="s">
        <v>144</v>
      </c>
      <c r="L22" s="41">
        <f>VLOOKUP(K22,Reinigungstage!A10:M31,13,FALSE)</f>
        <v>1</v>
      </c>
      <c r="M22" s="41">
        <f t="shared" ref="M22:M52" si="0">ROUND(IF(L22=0,0,L22*G22),2)</f>
        <v>4.7699999999999996</v>
      </c>
      <c r="N22" s="93"/>
      <c r="O22" s="41"/>
      <c r="P22" s="41">
        <f t="shared" ref="P22:P52" si="1">ROUND(IF(N22=0,0,M22/N22),2)</f>
        <v>0</v>
      </c>
      <c r="Q22" s="41">
        <f t="shared" ref="Q22:Q52" si="2">ROUND(IF(P22=0,0,P22*O22),2)</f>
        <v>0</v>
      </c>
      <c r="R22" s="41">
        <f t="shared" ref="R22:R52" si="3">ROUND(IF(P22=0,0,Q22/L22),2)</f>
        <v>0</v>
      </c>
      <c r="S22" s="4" t="str">
        <f t="shared" ref="S22:S52" si="4">IF(M22=0,"",IF(N22=0,"Leistungswert eintragen",IF(O22=0,"SVS prüfen","")))</f>
        <v>Leistungswert eintragen</v>
      </c>
      <c r="U22" s="4">
        <f t="shared" ref="U22:U52" si="5">VLOOKUP(J22,$U$4:$V$10,2,FALSE)</f>
        <v>24</v>
      </c>
      <c r="V22" s="4">
        <f t="shared" ref="V22:V52" si="6">U22*30%</f>
        <v>7.1999999999999993</v>
      </c>
      <c r="W22" s="4">
        <f t="shared" ref="W22:W52" si="7">SUM(U22:V22)</f>
        <v>31.2</v>
      </c>
      <c r="X22" s="4" t="str">
        <f t="shared" ref="X22:X52" si="8">IF(N22=0,"",IF(W22&lt;N22,1,IF(W22&gt;=N22,0,"")))</f>
        <v/>
      </c>
    </row>
    <row r="23" spans="1:24" ht="15" customHeight="1" x14ac:dyDescent="0.2">
      <c r="A23" s="22">
        <v>2</v>
      </c>
      <c r="B23" s="91"/>
      <c r="C23" s="92" t="s">
        <v>271</v>
      </c>
      <c r="D23" s="92"/>
      <c r="E23" s="92" t="s">
        <v>496</v>
      </c>
      <c r="F23" s="92" t="s">
        <v>227</v>
      </c>
      <c r="G23" s="62">
        <v>15.63</v>
      </c>
      <c r="H23" s="62"/>
      <c r="I23" s="62"/>
      <c r="J23" s="22" t="s">
        <v>541</v>
      </c>
      <c r="K23" s="22" t="s">
        <v>144</v>
      </c>
      <c r="L23" s="41">
        <f>VLOOKUP(K23,Reinigungstage!A10:M31,13,FALSE)</f>
        <v>1</v>
      </c>
      <c r="M23" s="41">
        <f t="shared" si="0"/>
        <v>15.63</v>
      </c>
      <c r="N23" s="93"/>
      <c r="O23" s="41"/>
      <c r="P23" s="41">
        <f t="shared" si="1"/>
        <v>0</v>
      </c>
      <c r="Q23" s="41">
        <f t="shared" si="2"/>
        <v>0</v>
      </c>
      <c r="R23" s="41">
        <f t="shared" si="3"/>
        <v>0</v>
      </c>
      <c r="S23" s="4" t="str">
        <f t="shared" si="4"/>
        <v>Leistungswert eintragen</v>
      </c>
      <c r="U23" s="4">
        <f t="shared" si="5"/>
        <v>16.5</v>
      </c>
      <c r="V23" s="4">
        <f t="shared" si="6"/>
        <v>4.95</v>
      </c>
      <c r="W23" s="4">
        <f t="shared" si="7"/>
        <v>21.45</v>
      </c>
      <c r="X23" s="4" t="str">
        <f t="shared" si="8"/>
        <v/>
      </c>
    </row>
    <row r="24" spans="1:24" ht="15" customHeight="1" x14ac:dyDescent="0.2">
      <c r="A24" s="22">
        <v>3</v>
      </c>
      <c r="B24" s="91"/>
      <c r="C24" s="92" t="s">
        <v>271</v>
      </c>
      <c r="D24" s="92"/>
      <c r="E24" s="92" t="s">
        <v>497</v>
      </c>
      <c r="F24" s="92" t="s">
        <v>227</v>
      </c>
      <c r="G24" s="62">
        <v>11.94</v>
      </c>
      <c r="H24" s="62"/>
      <c r="I24" s="62"/>
      <c r="J24" s="22" t="s">
        <v>541</v>
      </c>
      <c r="K24" s="22" t="s">
        <v>144</v>
      </c>
      <c r="L24" s="41">
        <f>VLOOKUP(K24,Reinigungstage!A10:M31,13,FALSE)</f>
        <v>1</v>
      </c>
      <c r="M24" s="41">
        <f t="shared" si="0"/>
        <v>11.94</v>
      </c>
      <c r="N24" s="93"/>
      <c r="O24" s="41"/>
      <c r="P24" s="41">
        <f t="shared" si="1"/>
        <v>0</v>
      </c>
      <c r="Q24" s="41">
        <f t="shared" si="2"/>
        <v>0</v>
      </c>
      <c r="R24" s="41">
        <f t="shared" si="3"/>
        <v>0</v>
      </c>
      <c r="S24" s="4" t="str">
        <f t="shared" si="4"/>
        <v>Leistungswert eintragen</v>
      </c>
      <c r="U24" s="4">
        <f t="shared" si="5"/>
        <v>16.5</v>
      </c>
      <c r="V24" s="4">
        <f t="shared" si="6"/>
        <v>4.95</v>
      </c>
      <c r="W24" s="4">
        <f t="shared" si="7"/>
        <v>21.45</v>
      </c>
      <c r="X24" s="4" t="str">
        <f t="shared" si="8"/>
        <v/>
      </c>
    </row>
    <row r="25" spans="1:24" ht="15" customHeight="1" x14ac:dyDescent="0.2">
      <c r="A25" s="22">
        <v>4</v>
      </c>
      <c r="B25" s="91"/>
      <c r="C25" s="92" t="s">
        <v>271</v>
      </c>
      <c r="D25" s="92"/>
      <c r="E25" s="92" t="s">
        <v>499</v>
      </c>
      <c r="F25" s="92" t="s">
        <v>224</v>
      </c>
      <c r="G25" s="62">
        <v>3.62</v>
      </c>
      <c r="H25" s="62"/>
      <c r="I25" s="62"/>
      <c r="J25" s="22" t="s">
        <v>267</v>
      </c>
      <c r="K25" s="22" t="s">
        <v>144</v>
      </c>
      <c r="L25" s="41">
        <f>VLOOKUP(K25,Reinigungstage!A10:M31,13,FALSE)</f>
        <v>1</v>
      </c>
      <c r="M25" s="41">
        <f t="shared" si="0"/>
        <v>3.62</v>
      </c>
      <c r="N25" s="93"/>
      <c r="O25" s="41"/>
      <c r="P25" s="41">
        <f t="shared" si="1"/>
        <v>0</v>
      </c>
      <c r="Q25" s="41">
        <f t="shared" si="2"/>
        <v>0</v>
      </c>
      <c r="R25" s="41">
        <f t="shared" si="3"/>
        <v>0</v>
      </c>
      <c r="S25" s="4" t="str">
        <f t="shared" si="4"/>
        <v>Leistungswert eintragen</v>
      </c>
      <c r="U25" s="4">
        <f t="shared" si="5"/>
        <v>7</v>
      </c>
      <c r="V25" s="4">
        <f t="shared" si="6"/>
        <v>2.1</v>
      </c>
      <c r="W25" s="4">
        <f t="shared" si="7"/>
        <v>9.1</v>
      </c>
      <c r="X25" s="4" t="str">
        <f t="shared" si="8"/>
        <v/>
      </c>
    </row>
    <row r="26" spans="1:24" ht="15" customHeight="1" x14ac:dyDescent="0.2">
      <c r="A26" s="22">
        <v>5</v>
      </c>
      <c r="B26" s="91"/>
      <c r="C26" s="92" t="s">
        <v>271</v>
      </c>
      <c r="D26" s="92"/>
      <c r="E26" s="92" t="s">
        <v>500</v>
      </c>
      <c r="F26" s="92" t="s">
        <v>224</v>
      </c>
      <c r="G26" s="62">
        <v>1.57</v>
      </c>
      <c r="H26" s="62"/>
      <c r="I26" s="62"/>
      <c r="J26" s="22" t="s">
        <v>267</v>
      </c>
      <c r="K26" s="22" t="s">
        <v>144</v>
      </c>
      <c r="L26" s="41">
        <f>VLOOKUP(K26,Reinigungstage!A10:M31,13,FALSE)</f>
        <v>1</v>
      </c>
      <c r="M26" s="41">
        <f t="shared" si="0"/>
        <v>1.57</v>
      </c>
      <c r="N26" s="93"/>
      <c r="O26" s="41"/>
      <c r="P26" s="41">
        <f t="shared" si="1"/>
        <v>0</v>
      </c>
      <c r="Q26" s="41">
        <f t="shared" si="2"/>
        <v>0</v>
      </c>
      <c r="R26" s="41">
        <f t="shared" si="3"/>
        <v>0</v>
      </c>
      <c r="S26" s="4" t="str">
        <f t="shared" si="4"/>
        <v>Leistungswert eintragen</v>
      </c>
      <c r="U26" s="4">
        <f t="shared" si="5"/>
        <v>7</v>
      </c>
      <c r="V26" s="4">
        <f t="shared" si="6"/>
        <v>2.1</v>
      </c>
      <c r="W26" s="4">
        <f t="shared" si="7"/>
        <v>9.1</v>
      </c>
      <c r="X26" s="4" t="str">
        <f t="shared" si="8"/>
        <v/>
      </c>
    </row>
    <row r="27" spans="1:24" ht="15" customHeight="1" x14ac:dyDescent="0.2">
      <c r="A27" s="22">
        <v>6</v>
      </c>
      <c r="B27" s="91"/>
      <c r="C27" s="92" t="s">
        <v>271</v>
      </c>
      <c r="D27" s="92"/>
      <c r="E27" s="92" t="s">
        <v>501</v>
      </c>
      <c r="F27" s="92" t="s">
        <v>224</v>
      </c>
      <c r="G27" s="62">
        <v>7.65</v>
      </c>
      <c r="H27" s="62"/>
      <c r="I27" s="62"/>
      <c r="J27" s="22" t="s">
        <v>267</v>
      </c>
      <c r="K27" s="22" t="s">
        <v>144</v>
      </c>
      <c r="L27" s="41">
        <f>VLOOKUP(K27,Reinigungstage!A10:M31,13,FALSE)</f>
        <v>1</v>
      </c>
      <c r="M27" s="41">
        <f t="shared" si="0"/>
        <v>7.65</v>
      </c>
      <c r="N27" s="93"/>
      <c r="O27" s="41"/>
      <c r="P27" s="41">
        <f t="shared" si="1"/>
        <v>0</v>
      </c>
      <c r="Q27" s="41">
        <f t="shared" si="2"/>
        <v>0</v>
      </c>
      <c r="R27" s="41">
        <f t="shared" si="3"/>
        <v>0</v>
      </c>
      <c r="S27" s="4" t="str">
        <f t="shared" si="4"/>
        <v>Leistungswert eintragen</v>
      </c>
      <c r="U27" s="4">
        <f t="shared" si="5"/>
        <v>7</v>
      </c>
      <c r="V27" s="4">
        <f t="shared" si="6"/>
        <v>2.1</v>
      </c>
      <c r="W27" s="4">
        <f t="shared" si="7"/>
        <v>9.1</v>
      </c>
      <c r="X27" s="4" t="str">
        <f t="shared" si="8"/>
        <v/>
      </c>
    </row>
    <row r="28" spans="1:24" ht="15" customHeight="1" x14ac:dyDescent="0.2">
      <c r="A28" s="22">
        <v>7</v>
      </c>
      <c r="B28" s="91"/>
      <c r="C28" s="92" t="s">
        <v>271</v>
      </c>
      <c r="D28" s="92"/>
      <c r="E28" s="92" t="s">
        <v>502</v>
      </c>
      <c r="F28" s="92" t="s">
        <v>224</v>
      </c>
      <c r="G28" s="62">
        <v>3.62</v>
      </c>
      <c r="H28" s="62"/>
      <c r="I28" s="62"/>
      <c r="J28" s="22" t="s">
        <v>267</v>
      </c>
      <c r="K28" s="22" t="s">
        <v>144</v>
      </c>
      <c r="L28" s="41">
        <f>VLOOKUP(K28,Reinigungstage!A10:M31,13,FALSE)</f>
        <v>1</v>
      </c>
      <c r="M28" s="41">
        <f t="shared" si="0"/>
        <v>3.62</v>
      </c>
      <c r="N28" s="93"/>
      <c r="O28" s="41"/>
      <c r="P28" s="41">
        <f t="shared" si="1"/>
        <v>0</v>
      </c>
      <c r="Q28" s="41">
        <f t="shared" si="2"/>
        <v>0</v>
      </c>
      <c r="R28" s="41">
        <f t="shared" si="3"/>
        <v>0</v>
      </c>
      <c r="S28" s="4" t="str">
        <f t="shared" si="4"/>
        <v>Leistungswert eintragen</v>
      </c>
      <c r="U28" s="4">
        <f t="shared" si="5"/>
        <v>7</v>
      </c>
      <c r="V28" s="4">
        <f t="shared" si="6"/>
        <v>2.1</v>
      </c>
      <c r="W28" s="4">
        <f t="shared" si="7"/>
        <v>9.1</v>
      </c>
      <c r="X28" s="4" t="str">
        <f t="shared" si="8"/>
        <v/>
      </c>
    </row>
    <row r="29" spans="1:24" ht="15" customHeight="1" x14ac:dyDescent="0.2">
      <c r="A29" s="22">
        <v>8</v>
      </c>
      <c r="B29" s="91"/>
      <c r="C29" s="92" t="s">
        <v>271</v>
      </c>
      <c r="D29" s="92"/>
      <c r="E29" s="92" t="s">
        <v>503</v>
      </c>
      <c r="F29" s="92" t="s">
        <v>224</v>
      </c>
      <c r="G29" s="62">
        <v>1.57</v>
      </c>
      <c r="H29" s="62"/>
      <c r="I29" s="62"/>
      <c r="J29" s="22" t="s">
        <v>267</v>
      </c>
      <c r="K29" s="22" t="s">
        <v>144</v>
      </c>
      <c r="L29" s="41">
        <f>VLOOKUP(K29,Reinigungstage!A10:M31,13,FALSE)</f>
        <v>1</v>
      </c>
      <c r="M29" s="41">
        <f t="shared" si="0"/>
        <v>1.57</v>
      </c>
      <c r="N29" s="93"/>
      <c r="O29" s="41"/>
      <c r="P29" s="41">
        <f t="shared" si="1"/>
        <v>0</v>
      </c>
      <c r="Q29" s="41">
        <f t="shared" si="2"/>
        <v>0</v>
      </c>
      <c r="R29" s="41">
        <f t="shared" si="3"/>
        <v>0</v>
      </c>
      <c r="S29" s="4" t="str">
        <f t="shared" si="4"/>
        <v>Leistungswert eintragen</v>
      </c>
      <c r="U29" s="4">
        <f t="shared" si="5"/>
        <v>7</v>
      </c>
      <c r="V29" s="4">
        <f t="shared" si="6"/>
        <v>2.1</v>
      </c>
      <c r="W29" s="4">
        <f t="shared" si="7"/>
        <v>9.1</v>
      </c>
      <c r="X29" s="4" t="str">
        <f t="shared" si="8"/>
        <v/>
      </c>
    </row>
    <row r="30" spans="1:24" ht="15" customHeight="1" x14ac:dyDescent="0.2">
      <c r="A30" s="22">
        <v>9</v>
      </c>
      <c r="B30" s="91"/>
      <c r="C30" s="92" t="s">
        <v>271</v>
      </c>
      <c r="D30" s="92"/>
      <c r="E30" s="92" t="s">
        <v>504</v>
      </c>
      <c r="F30" s="92" t="s">
        <v>227</v>
      </c>
      <c r="G30" s="62">
        <v>15.63</v>
      </c>
      <c r="H30" s="62"/>
      <c r="I30" s="62"/>
      <c r="J30" s="22" t="s">
        <v>541</v>
      </c>
      <c r="K30" s="22" t="s">
        <v>144</v>
      </c>
      <c r="L30" s="41">
        <f>VLOOKUP(K30,Reinigungstage!A10:M31,13,FALSE)</f>
        <v>1</v>
      </c>
      <c r="M30" s="41">
        <f t="shared" si="0"/>
        <v>15.63</v>
      </c>
      <c r="N30" s="93"/>
      <c r="O30" s="41"/>
      <c r="P30" s="41">
        <f t="shared" si="1"/>
        <v>0</v>
      </c>
      <c r="Q30" s="41">
        <f t="shared" si="2"/>
        <v>0</v>
      </c>
      <c r="R30" s="41">
        <f t="shared" si="3"/>
        <v>0</v>
      </c>
      <c r="S30" s="4" t="str">
        <f t="shared" si="4"/>
        <v>Leistungswert eintragen</v>
      </c>
      <c r="U30" s="4">
        <f t="shared" si="5"/>
        <v>16.5</v>
      </c>
      <c r="V30" s="4">
        <f t="shared" si="6"/>
        <v>4.95</v>
      </c>
      <c r="W30" s="4">
        <f t="shared" si="7"/>
        <v>21.45</v>
      </c>
      <c r="X30" s="4" t="str">
        <f t="shared" si="8"/>
        <v/>
      </c>
    </row>
    <row r="31" spans="1:24" ht="15" customHeight="1" x14ac:dyDescent="0.2">
      <c r="A31" s="22">
        <v>10</v>
      </c>
      <c r="B31" s="91"/>
      <c r="C31" s="92" t="s">
        <v>271</v>
      </c>
      <c r="D31" s="92"/>
      <c r="E31" s="92" t="s">
        <v>505</v>
      </c>
      <c r="F31" s="92" t="s">
        <v>227</v>
      </c>
      <c r="G31" s="62">
        <v>96.39</v>
      </c>
      <c r="H31" s="62"/>
      <c r="I31" s="62"/>
      <c r="J31" s="22" t="s">
        <v>264</v>
      </c>
      <c r="K31" s="22" t="s">
        <v>144</v>
      </c>
      <c r="L31" s="41">
        <f>VLOOKUP(K31,Reinigungstage!A10:M31,13,FALSE)</f>
        <v>1</v>
      </c>
      <c r="M31" s="41">
        <f t="shared" si="0"/>
        <v>96.39</v>
      </c>
      <c r="N31" s="93"/>
      <c r="O31" s="41"/>
      <c r="P31" s="41">
        <f t="shared" si="1"/>
        <v>0</v>
      </c>
      <c r="Q31" s="41">
        <f t="shared" si="2"/>
        <v>0</v>
      </c>
      <c r="R31" s="41">
        <f t="shared" si="3"/>
        <v>0</v>
      </c>
      <c r="S31" s="4" t="str">
        <f t="shared" si="4"/>
        <v>Leistungswert eintragen</v>
      </c>
      <c r="U31" s="4">
        <f t="shared" si="5"/>
        <v>24</v>
      </c>
      <c r="V31" s="4">
        <f t="shared" si="6"/>
        <v>7.1999999999999993</v>
      </c>
      <c r="W31" s="4">
        <f t="shared" si="7"/>
        <v>31.2</v>
      </c>
      <c r="X31" s="4" t="str">
        <f t="shared" si="8"/>
        <v/>
      </c>
    </row>
    <row r="32" spans="1:24" ht="15" customHeight="1" x14ac:dyDescent="0.2">
      <c r="A32" s="22">
        <v>11</v>
      </c>
      <c r="B32" s="91"/>
      <c r="C32" s="92" t="s">
        <v>271</v>
      </c>
      <c r="D32" s="92"/>
      <c r="E32" s="92" t="s">
        <v>506</v>
      </c>
      <c r="F32" s="92" t="s">
        <v>227</v>
      </c>
      <c r="G32" s="62">
        <v>4.7699999999999996</v>
      </c>
      <c r="H32" s="62"/>
      <c r="I32" s="62"/>
      <c r="J32" s="22" t="s">
        <v>264</v>
      </c>
      <c r="K32" s="22" t="s">
        <v>144</v>
      </c>
      <c r="L32" s="41">
        <f>VLOOKUP(K32,Reinigungstage!A10:M31,13,FALSE)</f>
        <v>1</v>
      </c>
      <c r="M32" s="41">
        <f t="shared" si="0"/>
        <v>4.7699999999999996</v>
      </c>
      <c r="N32" s="93"/>
      <c r="O32" s="41"/>
      <c r="P32" s="41">
        <f t="shared" si="1"/>
        <v>0</v>
      </c>
      <c r="Q32" s="41">
        <f t="shared" si="2"/>
        <v>0</v>
      </c>
      <c r="R32" s="41">
        <f t="shared" si="3"/>
        <v>0</v>
      </c>
      <c r="S32" s="4" t="str">
        <f t="shared" si="4"/>
        <v>Leistungswert eintragen</v>
      </c>
      <c r="U32" s="4">
        <f t="shared" si="5"/>
        <v>24</v>
      </c>
      <c r="V32" s="4">
        <f t="shared" si="6"/>
        <v>7.1999999999999993</v>
      </c>
      <c r="W32" s="4">
        <f t="shared" si="7"/>
        <v>31.2</v>
      </c>
      <c r="X32" s="4" t="str">
        <f t="shared" si="8"/>
        <v/>
      </c>
    </row>
    <row r="33" spans="1:24" ht="15" customHeight="1" x14ac:dyDescent="0.2">
      <c r="A33" s="22">
        <v>12</v>
      </c>
      <c r="B33" s="91"/>
      <c r="C33" s="92" t="s">
        <v>271</v>
      </c>
      <c r="D33" s="92"/>
      <c r="E33" s="92" t="s">
        <v>507</v>
      </c>
      <c r="F33" s="92" t="s">
        <v>227</v>
      </c>
      <c r="G33" s="62">
        <v>15.63</v>
      </c>
      <c r="H33" s="62"/>
      <c r="I33" s="62"/>
      <c r="J33" s="22" t="s">
        <v>541</v>
      </c>
      <c r="K33" s="22" t="s">
        <v>144</v>
      </c>
      <c r="L33" s="41">
        <f>VLOOKUP(K33,Reinigungstage!A10:M31,13,FALSE)</f>
        <v>1</v>
      </c>
      <c r="M33" s="41">
        <f t="shared" si="0"/>
        <v>15.63</v>
      </c>
      <c r="N33" s="93"/>
      <c r="O33" s="41"/>
      <c r="P33" s="41">
        <f t="shared" si="1"/>
        <v>0</v>
      </c>
      <c r="Q33" s="41">
        <f t="shared" si="2"/>
        <v>0</v>
      </c>
      <c r="R33" s="41">
        <f t="shared" si="3"/>
        <v>0</v>
      </c>
      <c r="S33" s="4" t="str">
        <f t="shared" si="4"/>
        <v>Leistungswert eintragen</v>
      </c>
      <c r="U33" s="4">
        <f t="shared" si="5"/>
        <v>16.5</v>
      </c>
      <c r="V33" s="4">
        <f t="shared" si="6"/>
        <v>4.95</v>
      </c>
      <c r="W33" s="4">
        <f t="shared" si="7"/>
        <v>21.45</v>
      </c>
      <c r="X33" s="4" t="str">
        <f t="shared" si="8"/>
        <v/>
      </c>
    </row>
    <row r="34" spans="1:24" ht="15" customHeight="1" x14ac:dyDescent="0.2">
      <c r="A34" s="22">
        <v>13</v>
      </c>
      <c r="B34" s="91"/>
      <c r="C34" s="92" t="s">
        <v>271</v>
      </c>
      <c r="D34" s="92"/>
      <c r="E34" s="92" t="s">
        <v>508</v>
      </c>
      <c r="F34" s="92" t="s">
        <v>224</v>
      </c>
      <c r="G34" s="62">
        <v>3.62</v>
      </c>
      <c r="H34" s="62"/>
      <c r="I34" s="62"/>
      <c r="J34" s="22" t="s">
        <v>267</v>
      </c>
      <c r="K34" s="22" t="s">
        <v>144</v>
      </c>
      <c r="L34" s="41">
        <f>VLOOKUP(K34,Reinigungstage!A10:M31,13,FALSE)</f>
        <v>1</v>
      </c>
      <c r="M34" s="41">
        <f t="shared" si="0"/>
        <v>3.62</v>
      </c>
      <c r="N34" s="93"/>
      <c r="O34" s="41"/>
      <c r="P34" s="41">
        <f t="shared" si="1"/>
        <v>0</v>
      </c>
      <c r="Q34" s="41">
        <f t="shared" si="2"/>
        <v>0</v>
      </c>
      <c r="R34" s="41">
        <f t="shared" si="3"/>
        <v>0</v>
      </c>
      <c r="S34" s="4" t="str">
        <f t="shared" si="4"/>
        <v>Leistungswert eintragen</v>
      </c>
      <c r="U34" s="4">
        <f t="shared" si="5"/>
        <v>7</v>
      </c>
      <c r="V34" s="4">
        <f t="shared" si="6"/>
        <v>2.1</v>
      </c>
      <c r="W34" s="4">
        <f t="shared" si="7"/>
        <v>9.1</v>
      </c>
      <c r="X34" s="4" t="str">
        <f t="shared" si="8"/>
        <v/>
      </c>
    </row>
    <row r="35" spans="1:24" ht="15" customHeight="1" x14ac:dyDescent="0.2">
      <c r="A35" s="22">
        <v>14</v>
      </c>
      <c r="B35" s="91"/>
      <c r="C35" s="92" t="s">
        <v>271</v>
      </c>
      <c r="D35" s="92"/>
      <c r="E35" s="92" t="s">
        <v>509</v>
      </c>
      <c r="F35" s="92" t="s">
        <v>224</v>
      </c>
      <c r="G35" s="62">
        <v>1.57</v>
      </c>
      <c r="H35" s="62"/>
      <c r="I35" s="62"/>
      <c r="J35" s="22" t="s">
        <v>267</v>
      </c>
      <c r="K35" s="22" t="s">
        <v>144</v>
      </c>
      <c r="L35" s="41">
        <f>VLOOKUP(K35,Reinigungstage!A10:M31,13,FALSE)</f>
        <v>1</v>
      </c>
      <c r="M35" s="41">
        <f t="shared" si="0"/>
        <v>1.57</v>
      </c>
      <c r="N35" s="93"/>
      <c r="O35" s="41"/>
      <c r="P35" s="41">
        <f t="shared" si="1"/>
        <v>0</v>
      </c>
      <c r="Q35" s="41">
        <f t="shared" si="2"/>
        <v>0</v>
      </c>
      <c r="R35" s="41">
        <f t="shared" si="3"/>
        <v>0</v>
      </c>
      <c r="S35" s="4" t="str">
        <f t="shared" si="4"/>
        <v>Leistungswert eintragen</v>
      </c>
      <c r="U35" s="4">
        <f t="shared" si="5"/>
        <v>7</v>
      </c>
      <c r="V35" s="4">
        <f t="shared" si="6"/>
        <v>2.1</v>
      </c>
      <c r="W35" s="4">
        <f t="shared" si="7"/>
        <v>9.1</v>
      </c>
      <c r="X35" s="4" t="str">
        <f t="shared" si="8"/>
        <v/>
      </c>
    </row>
    <row r="36" spans="1:24" ht="15" customHeight="1" x14ac:dyDescent="0.2">
      <c r="A36" s="22">
        <v>15</v>
      </c>
      <c r="B36" s="91"/>
      <c r="C36" s="92" t="s">
        <v>271</v>
      </c>
      <c r="D36" s="92"/>
      <c r="E36" s="92" t="s">
        <v>510</v>
      </c>
      <c r="F36" s="92" t="s">
        <v>224</v>
      </c>
      <c r="G36" s="62">
        <v>7.65</v>
      </c>
      <c r="H36" s="62"/>
      <c r="I36" s="62"/>
      <c r="J36" s="22" t="s">
        <v>267</v>
      </c>
      <c r="K36" s="22" t="s">
        <v>144</v>
      </c>
      <c r="L36" s="41">
        <f>VLOOKUP(K36,Reinigungstage!A10:M31,13,FALSE)</f>
        <v>1</v>
      </c>
      <c r="M36" s="41">
        <f t="shared" si="0"/>
        <v>7.65</v>
      </c>
      <c r="N36" s="93"/>
      <c r="O36" s="41"/>
      <c r="P36" s="41">
        <f t="shared" si="1"/>
        <v>0</v>
      </c>
      <c r="Q36" s="41">
        <f t="shared" si="2"/>
        <v>0</v>
      </c>
      <c r="R36" s="41">
        <f t="shared" si="3"/>
        <v>0</v>
      </c>
      <c r="S36" s="4" t="str">
        <f t="shared" si="4"/>
        <v>Leistungswert eintragen</v>
      </c>
      <c r="U36" s="4">
        <f t="shared" si="5"/>
        <v>7</v>
      </c>
      <c r="V36" s="4">
        <f t="shared" si="6"/>
        <v>2.1</v>
      </c>
      <c r="W36" s="4">
        <f t="shared" si="7"/>
        <v>9.1</v>
      </c>
      <c r="X36" s="4" t="str">
        <f t="shared" si="8"/>
        <v/>
      </c>
    </row>
    <row r="37" spans="1:24" ht="15" customHeight="1" x14ac:dyDescent="0.2">
      <c r="A37" s="22">
        <v>16</v>
      </c>
      <c r="B37" s="91"/>
      <c r="C37" s="92" t="s">
        <v>271</v>
      </c>
      <c r="D37" s="92"/>
      <c r="E37" s="92" t="s">
        <v>511</v>
      </c>
      <c r="F37" s="92" t="s">
        <v>224</v>
      </c>
      <c r="G37" s="62">
        <v>3.62</v>
      </c>
      <c r="H37" s="62"/>
      <c r="I37" s="62"/>
      <c r="J37" s="22" t="s">
        <v>267</v>
      </c>
      <c r="K37" s="22" t="s">
        <v>144</v>
      </c>
      <c r="L37" s="41">
        <f>VLOOKUP(K37,Reinigungstage!A10:M31,13,FALSE)</f>
        <v>1</v>
      </c>
      <c r="M37" s="41">
        <f t="shared" si="0"/>
        <v>3.62</v>
      </c>
      <c r="N37" s="93"/>
      <c r="O37" s="41"/>
      <c r="P37" s="41">
        <f t="shared" si="1"/>
        <v>0</v>
      </c>
      <c r="Q37" s="41">
        <f t="shared" si="2"/>
        <v>0</v>
      </c>
      <c r="R37" s="41">
        <f t="shared" si="3"/>
        <v>0</v>
      </c>
      <c r="S37" s="4" t="str">
        <f t="shared" si="4"/>
        <v>Leistungswert eintragen</v>
      </c>
      <c r="U37" s="4">
        <f t="shared" si="5"/>
        <v>7</v>
      </c>
      <c r="V37" s="4">
        <f t="shared" si="6"/>
        <v>2.1</v>
      </c>
      <c r="W37" s="4">
        <f t="shared" si="7"/>
        <v>9.1</v>
      </c>
      <c r="X37" s="4" t="str">
        <f t="shared" si="8"/>
        <v/>
      </c>
    </row>
    <row r="38" spans="1:24" ht="15" customHeight="1" x14ac:dyDescent="0.2">
      <c r="A38" s="22">
        <v>17</v>
      </c>
      <c r="B38" s="91"/>
      <c r="C38" s="92" t="s">
        <v>271</v>
      </c>
      <c r="D38" s="92"/>
      <c r="E38" s="92" t="s">
        <v>512</v>
      </c>
      <c r="F38" s="92" t="s">
        <v>224</v>
      </c>
      <c r="G38" s="62">
        <v>1.57</v>
      </c>
      <c r="H38" s="62"/>
      <c r="I38" s="62"/>
      <c r="J38" s="22" t="s">
        <v>267</v>
      </c>
      <c r="K38" s="22" t="s">
        <v>144</v>
      </c>
      <c r="L38" s="41">
        <f>VLOOKUP(K38,Reinigungstage!A10:M31,13,FALSE)</f>
        <v>1</v>
      </c>
      <c r="M38" s="41">
        <f t="shared" si="0"/>
        <v>1.57</v>
      </c>
      <c r="N38" s="93"/>
      <c r="O38" s="41"/>
      <c r="P38" s="41">
        <f t="shared" si="1"/>
        <v>0</v>
      </c>
      <c r="Q38" s="41">
        <f t="shared" si="2"/>
        <v>0</v>
      </c>
      <c r="R38" s="41">
        <f t="shared" si="3"/>
        <v>0</v>
      </c>
      <c r="S38" s="4" t="str">
        <f t="shared" si="4"/>
        <v>Leistungswert eintragen</v>
      </c>
      <c r="U38" s="4">
        <f t="shared" si="5"/>
        <v>7</v>
      </c>
      <c r="V38" s="4">
        <f t="shared" si="6"/>
        <v>2.1</v>
      </c>
      <c r="W38" s="4">
        <f t="shared" si="7"/>
        <v>9.1</v>
      </c>
      <c r="X38" s="4" t="str">
        <f t="shared" si="8"/>
        <v/>
      </c>
    </row>
    <row r="39" spans="1:24" ht="15" customHeight="1" x14ac:dyDescent="0.2">
      <c r="A39" s="22">
        <v>18</v>
      </c>
      <c r="B39" s="91"/>
      <c r="C39" s="92" t="s">
        <v>271</v>
      </c>
      <c r="D39" s="92"/>
      <c r="E39" s="92" t="s">
        <v>513</v>
      </c>
      <c r="F39" s="92" t="s">
        <v>227</v>
      </c>
      <c r="G39" s="62">
        <v>15.63</v>
      </c>
      <c r="H39" s="62"/>
      <c r="I39" s="62"/>
      <c r="J39" s="22" t="s">
        <v>541</v>
      </c>
      <c r="K39" s="22" t="s">
        <v>144</v>
      </c>
      <c r="L39" s="41">
        <f>VLOOKUP(K39,Reinigungstage!A10:M31,13,FALSE)</f>
        <v>1</v>
      </c>
      <c r="M39" s="41">
        <f t="shared" si="0"/>
        <v>15.63</v>
      </c>
      <c r="N39" s="93"/>
      <c r="O39" s="41"/>
      <c r="P39" s="41">
        <f t="shared" si="1"/>
        <v>0</v>
      </c>
      <c r="Q39" s="41">
        <f t="shared" si="2"/>
        <v>0</v>
      </c>
      <c r="R39" s="41">
        <f t="shared" si="3"/>
        <v>0</v>
      </c>
      <c r="S39" s="4" t="str">
        <f t="shared" si="4"/>
        <v>Leistungswert eintragen</v>
      </c>
      <c r="U39" s="4">
        <f t="shared" si="5"/>
        <v>16.5</v>
      </c>
      <c r="V39" s="4">
        <f t="shared" si="6"/>
        <v>4.95</v>
      </c>
      <c r="W39" s="4">
        <f t="shared" si="7"/>
        <v>21.45</v>
      </c>
      <c r="X39" s="4" t="str">
        <f t="shared" si="8"/>
        <v/>
      </c>
    </row>
    <row r="40" spans="1:24" ht="15" customHeight="1" x14ac:dyDescent="0.2">
      <c r="A40" s="22">
        <v>19</v>
      </c>
      <c r="B40" s="91"/>
      <c r="C40" s="92" t="s">
        <v>271</v>
      </c>
      <c r="D40" s="92"/>
      <c r="E40" s="92" t="s">
        <v>514</v>
      </c>
      <c r="F40" s="92" t="s">
        <v>227</v>
      </c>
      <c r="G40" s="62">
        <v>4.7699999999999996</v>
      </c>
      <c r="H40" s="62"/>
      <c r="I40" s="62"/>
      <c r="J40" s="22" t="s">
        <v>264</v>
      </c>
      <c r="K40" s="22" t="s">
        <v>144</v>
      </c>
      <c r="L40" s="41">
        <f>VLOOKUP(K40,Reinigungstage!A10:M31,13,FALSE)</f>
        <v>1</v>
      </c>
      <c r="M40" s="41">
        <f t="shared" si="0"/>
        <v>4.7699999999999996</v>
      </c>
      <c r="N40" s="93"/>
      <c r="O40" s="41"/>
      <c r="P40" s="41">
        <f t="shared" si="1"/>
        <v>0</v>
      </c>
      <c r="Q40" s="41">
        <f t="shared" si="2"/>
        <v>0</v>
      </c>
      <c r="R40" s="41">
        <f t="shared" si="3"/>
        <v>0</v>
      </c>
      <c r="S40" s="4" t="str">
        <f t="shared" si="4"/>
        <v>Leistungswert eintragen</v>
      </c>
      <c r="U40" s="4">
        <f t="shared" si="5"/>
        <v>24</v>
      </c>
      <c r="V40" s="4">
        <f t="shared" si="6"/>
        <v>7.1999999999999993</v>
      </c>
      <c r="W40" s="4">
        <f t="shared" si="7"/>
        <v>31.2</v>
      </c>
      <c r="X40" s="4" t="str">
        <f t="shared" si="8"/>
        <v/>
      </c>
    </row>
    <row r="41" spans="1:24" ht="15" customHeight="1" x14ac:dyDescent="0.2">
      <c r="A41" s="22">
        <v>20</v>
      </c>
      <c r="B41" s="91"/>
      <c r="C41" s="92" t="s">
        <v>271</v>
      </c>
      <c r="D41" s="92"/>
      <c r="E41" s="92" t="s">
        <v>515</v>
      </c>
      <c r="F41" s="92" t="s">
        <v>227</v>
      </c>
      <c r="G41" s="62">
        <v>15.63</v>
      </c>
      <c r="H41" s="62"/>
      <c r="I41" s="62"/>
      <c r="J41" s="22" t="s">
        <v>541</v>
      </c>
      <c r="K41" s="22" t="s">
        <v>144</v>
      </c>
      <c r="L41" s="41">
        <f>VLOOKUP(K41,Reinigungstage!A10:M31,13,FALSE)</f>
        <v>1</v>
      </c>
      <c r="M41" s="41">
        <f t="shared" si="0"/>
        <v>15.63</v>
      </c>
      <c r="N41" s="93"/>
      <c r="O41" s="41"/>
      <c r="P41" s="41">
        <f t="shared" si="1"/>
        <v>0</v>
      </c>
      <c r="Q41" s="41">
        <f t="shared" si="2"/>
        <v>0</v>
      </c>
      <c r="R41" s="41">
        <f t="shared" si="3"/>
        <v>0</v>
      </c>
      <c r="S41" s="4" t="str">
        <f t="shared" si="4"/>
        <v>Leistungswert eintragen</v>
      </c>
      <c r="U41" s="4">
        <f t="shared" si="5"/>
        <v>16.5</v>
      </c>
      <c r="V41" s="4">
        <f t="shared" si="6"/>
        <v>4.95</v>
      </c>
      <c r="W41" s="4">
        <f t="shared" si="7"/>
        <v>21.45</v>
      </c>
      <c r="X41" s="4" t="str">
        <f t="shared" si="8"/>
        <v/>
      </c>
    </row>
    <row r="42" spans="1:24" ht="15" customHeight="1" x14ac:dyDescent="0.2">
      <c r="A42" s="22">
        <v>21</v>
      </c>
      <c r="B42" s="91"/>
      <c r="C42" s="92" t="s">
        <v>271</v>
      </c>
      <c r="D42" s="92"/>
      <c r="E42" s="92" t="s">
        <v>516</v>
      </c>
      <c r="F42" s="92" t="s">
        <v>224</v>
      </c>
      <c r="G42" s="62">
        <v>3.62</v>
      </c>
      <c r="H42" s="62"/>
      <c r="I42" s="62"/>
      <c r="J42" s="22" t="s">
        <v>267</v>
      </c>
      <c r="K42" s="22" t="s">
        <v>144</v>
      </c>
      <c r="L42" s="41">
        <f>VLOOKUP(K42,Reinigungstage!A10:M31,13,FALSE)</f>
        <v>1</v>
      </c>
      <c r="M42" s="41">
        <f t="shared" si="0"/>
        <v>3.62</v>
      </c>
      <c r="N42" s="93"/>
      <c r="O42" s="41"/>
      <c r="P42" s="41">
        <f t="shared" si="1"/>
        <v>0</v>
      </c>
      <c r="Q42" s="41">
        <f t="shared" si="2"/>
        <v>0</v>
      </c>
      <c r="R42" s="41">
        <f t="shared" si="3"/>
        <v>0</v>
      </c>
      <c r="S42" s="4" t="str">
        <f t="shared" si="4"/>
        <v>Leistungswert eintragen</v>
      </c>
      <c r="U42" s="4">
        <f t="shared" si="5"/>
        <v>7</v>
      </c>
      <c r="V42" s="4">
        <f t="shared" si="6"/>
        <v>2.1</v>
      </c>
      <c r="W42" s="4">
        <f t="shared" si="7"/>
        <v>9.1</v>
      </c>
      <c r="X42" s="4" t="str">
        <f t="shared" si="8"/>
        <v/>
      </c>
    </row>
    <row r="43" spans="1:24" ht="15" customHeight="1" x14ac:dyDescent="0.2">
      <c r="A43" s="22">
        <v>22</v>
      </c>
      <c r="B43" s="91"/>
      <c r="C43" s="92" t="s">
        <v>271</v>
      </c>
      <c r="D43" s="92"/>
      <c r="E43" s="92" t="s">
        <v>517</v>
      </c>
      <c r="F43" s="92" t="s">
        <v>224</v>
      </c>
      <c r="G43" s="62">
        <v>1.57</v>
      </c>
      <c r="H43" s="62"/>
      <c r="I43" s="62"/>
      <c r="J43" s="22" t="s">
        <v>267</v>
      </c>
      <c r="K43" s="22" t="s">
        <v>144</v>
      </c>
      <c r="L43" s="41">
        <f>VLOOKUP(K43,Reinigungstage!A10:M31,13,FALSE)</f>
        <v>1</v>
      </c>
      <c r="M43" s="41">
        <f t="shared" si="0"/>
        <v>1.57</v>
      </c>
      <c r="N43" s="93"/>
      <c r="O43" s="41"/>
      <c r="P43" s="41">
        <f t="shared" si="1"/>
        <v>0</v>
      </c>
      <c r="Q43" s="41">
        <f t="shared" si="2"/>
        <v>0</v>
      </c>
      <c r="R43" s="41">
        <f t="shared" si="3"/>
        <v>0</v>
      </c>
      <c r="S43" s="4" t="str">
        <f t="shared" si="4"/>
        <v>Leistungswert eintragen</v>
      </c>
      <c r="U43" s="4">
        <f t="shared" si="5"/>
        <v>7</v>
      </c>
      <c r="V43" s="4">
        <f t="shared" si="6"/>
        <v>2.1</v>
      </c>
      <c r="W43" s="4">
        <f t="shared" si="7"/>
        <v>9.1</v>
      </c>
      <c r="X43" s="4" t="str">
        <f t="shared" si="8"/>
        <v/>
      </c>
    </row>
    <row r="44" spans="1:24" ht="15" customHeight="1" x14ac:dyDescent="0.2">
      <c r="A44" s="22">
        <v>23</v>
      </c>
      <c r="B44" s="91"/>
      <c r="C44" s="92" t="s">
        <v>271</v>
      </c>
      <c r="D44" s="92"/>
      <c r="E44" s="92" t="s">
        <v>518</v>
      </c>
      <c r="F44" s="92" t="s">
        <v>224</v>
      </c>
      <c r="G44" s="62">
        <v>7.65</v>
      </c>
      <c r="H44" s="62"/>
      <c r="I44" s="62"/>
      <c r="J44" s="22" t="s">
        <v>267</v>
      </c>
      <c r="K44" s="22" t="s">
        <v>144</v>
      </c>
      <c r="L44" s="41">
        <f>VLOOKUP(K44,Reinigungstage!A10:M31,13,FALSE)</f>
        <v>1</v>
      </c>
      <c r="M44" s="41">
        <f t="shared" si="0"/>
        <v>7.65</v>
      </c>
      <c r="N44" s="93"/>
      <c r="O44" s="41"/>
      <c r="P44" s="41">
        <f t="shared" si="1"/>
        <v>0</v>
      </c>
      <c r="Q44" s="41">
        <f t="shared" si="2"/>
        <v>0</v>
      </c>
      <c r="R44" s="41">
        <f t="shared" si="3"/>
        <v>0</v>
      </c>
      <c r="S44" s="4" t="str">
        <f t="shared" si="4"/>
        <v>Leistungswert eintragen</v>
      </c>
      <c r="U44" s="4">
        <f t="shared" si="5"/>
        <v>7</v>
      </c>
      <c r="V44" s="4">
        <f t="shared" si="6"/>
        <v>2.1</v>
      </c>
      <c r="W44" s="4">
        <f t="shared" si="7"/>
        <v>9.1</v>
      </c>
      <c r="X44" s="4" t="str">
        <f t="shared" si="8"/>
        <v/>
      </c>
    </row>
    <row r="45" spans="1:24" ht="15" customHeight="1" x14ac:dyDescent="0.2">
      <c r="A45" s="22">
        <v>24</v>
      </c>
      <c r="B45" s="91"/>
      <c r="C45" s="92" t="s">
        <v>271</v>
      </c>
      <c r="D45" s="92"/>
      <c r="E45" s="92" t="s">
        <v>519</v>
      </c>
      <c r="F45" s="92" t="s">
        <v>224</v>
      </c>
      <c r="G45" s="62">
        <v>3.62</v>
      </c>
      <c r="H45" s="62"/>
      <c r="I45" s="62"/>
      <c r="J45" s="22" t="s">
        <v>267</v>
      </c>
      <c r="K45" s="22" t="s">
        <v>144</v>
      </c>
      <c r="L45" s="41">
        <f>VLOOKUP(K45,Reinigungstage!A10:M31,13,FALSE)</f>
        <v>1</v>
      </c>
      <c r="M45" s="41">
        <f t="shared" si="0"/>
        <v>3.62</v>
      </c>
      <c r="N45" s="93"/>
      <c r="O45" s="41"/>
      <c r="P45" s="41">
        <f t="shared" si="1"/>
        <v>0</v>
      </c>
      <c r="Q45" s="41">
        <f t="shared" si="2"/>
        <v>0</v>
      </c>
      <c r="R45" s="41">
        <f t="shared" si="3"/>
        <v>0</v>
      </c>
      <c r="S45" s="4" t="str">
        <f t="shared" si="4"/>
        <v>Leistungswert eintragen</v>
      </c>
      <c r="U45" s="4">
        <f t="shared" si="5"/>
        <v>7</v>
      </c>
      <c r="V45" s="4">
        <f t="shared" si="6"/>
        <v>2.1</v>
      </c>
      <c r="W45" s="4">
        <f t="shared" si="7"/>
        <v>9.1</v>
      </c>
      <c r="X45" s="4" t="str">
        <f t="shared" si="8"/>
        <v/>
      </c>
    </row>
    <row r="46" spans="1:24" ht="15" customHeight="1" x14ac:dyDescent="0.2">
      <c r="A46" s="22">
        <v>25</v>
      </c>
      <c r="B46" s="91"/>
      <c r="C46" s="92" t="s">
        <v>271</v>
      </c>
      <c r="D46" s="92"/>
      <c r="E46" s="92" t="s">
        <v>520</v>
      </c>
      <c r="F46" s="92" t="s">
        <v>224</v>
      </c>
      <c r="G46" s="62">
        <v>1.57</v>
      </c>
      <c r="H46" s="62"/>
      <c r="I46" s="62"/>
      <c r="J46" s="22" t="s">
        <v>267</v>
      </c>
      <c r="K46" s="22" t="s">
        <v>144</v>
      </c>
      <c r="L46" s="41">
        <f>VLOOKUP(K46,Reinigungstage!A10:M31,13,FALSE)</f>
        <v>1</v>
      </c>
      <c r="M46" s="41">
        <f t="shared" si="0"/>
        <v>1.57</v>
      </c>
      <c r="N46" s="93"/>
      <c r="O46" s="41"/>
      <c r="P46" s="41">
        <f t="shared" si="1"/>
        <v>0</v>
      </c>
      <c r="Q46" s="41">
        <f t="shared" si="2"/>
        <v>0</v>
      </c>
      <c r="R46" s="41">
        <f t="shared" si="3"/>
        <v>0</v>
      </c>
      <c r="S46" s="4" t="str">
        <f t="shared" si="4"/>
        <v>Leistungswert eintragen</v>
      </c>
      <c r="U46" s="4">
        <f t="shared" si="5"/>
        <v>7</v>
      </c>
      <c r="V46" s="4">
        <f t="shared" si="6"/>
        <v>2.1</v>
      </c>
      <c r="W46" s="4">
        <f t="shared" si="7"/>
        <v>9.1</v>
      </c>
      <c r="X46" s="4" t="str">
        <f t="shared" si="8"/>
        <v/>
      </c>
    </row>
    <row r="47" spans="1:24" ht="15" customHeight="1" x14ac:dyDescent="0.2">
      <c r="A47" s="22">
        <v>26</v>
      </c>
      <c r="B47" s="91"/>
      <c r="C47" s="92" t="s">
        <v>271</v>
      </c>
      <c r="D47" s="92"/>
      <c r="E47" s="92" t="s">
        <v>521</v>
      </c>
      <c r="F47" s="92" t="s">
        <v>227</v>
      </c>
      <c r="G47" s="62">
        <v>15.63</v>
      </c>
      <c r="H47" s="62"/>
      <c r="I47" s="62"/>
      <c r="J47" s="22" t="s">
        <v>541</v>
      </c>
      <c r="K47" s="22" t="s">
        <v>144</v>
      </c>
      <c r="L47" s="41">
        <f>VLOOKUP(K47,Reinigungstage!A10:M31,13,FALSE)</f>
        <v>1</v>
      </c>
      <c r="M47" s="41">
        <f t="shared" si="0"/>
        <v>15.63</v>
      </c>
      <c r="N47" s="93"/>
      <c r="O47" s="41"/>
      <c r="P47" s="41">
        <f t="shared" si="1"/>
        <v>0</v>
      </c>
      <c r="Q47" s="41">
        <f t="shared" si="2"/>
        <v>0</v>
      </c>
      <c r="R47" s="41">
        <f t="shared" si="3"/>
        <v>0</v>
      </c>
      <c r="S47" s="4" t="str">
        <f t="shared" si="4"/>
        <v>Leistungswert eintragen</v>
      </c>
      <c r="U47" s="4">
        <f t="shared" si="5"/>
        <v>16.5</v>
      </c>
      <c r="V47" s="4">
        <f t="shared" si="6"/>
        <v>4.95</v>
      </c>
      <c r="W47" s="4">
        <f t="shared" si="7"/>
        <v>21.45</v>
      </c>
      <c r="X47" s="4" t="str">
        <f t="shared" si="8"/>
        <v/>
      </c>
    </row>
    <row r="48" spans="1:24" ht="15" customHeight="1" x14ac:dyDescent="0.2">
      <c r="A48" s="22">
        <v>27</v>
      </c>
      <c r="B48" s="91"/>
      <c r="C48" s="92" t="s">
        <v>271</v>
      </c>
      <c r="D48" s="92"/>
      <c r="E48" s="92" t="s">
        <v>522</v>
      </c>
      <c r="F48" s="92" t="s">
        <v>227</v>
      </c>
      <c r="G48" s="62">
        <v>4.7699999999999996</v>
      </c>
      <c r="H48" s="62"/>
      <c r="I48" s="62"/>
      <c r="J48" s="22" t="s">
        <v>264</v>
      </c>
      <c r="K48" s="22" t="s">
        <v>144</v>
      </c>
      <c r="L48" s="41">
        <f>VLOOKUP(K48,Reinigungstage!A10:M31,13,FALSE)</f>
        <v>1</v>
      </c>
      <c r="M48" s="41">
        <f t="shared" si="0"/>
        <v>4.7699999999999996</v>
      </c>
      <c r="N48" s="93"/>
      <c r="O48" s="41"/>
      <c r="P48" s="41">
        <f t="shared" si="1"/>
        <v>0</v>
      </c>
      <c r="Q48" s="41">
        <f t="shared" si="2"/>
        <v>0</v>
      </c>
      <c r="R48" s="41">
        <f t="shared" si="3"/>
        <v>0</v>
      </c>
      <c r="S48" s="4" t="str">
        <f t="shared" si="4"/>
        <v>Leistungswert eintragen</v>
      </c>
      <c r="U48" s="4">
        <f t="shared" si="5"/>
        <v>24</v>
      </c>
      <c r="V48" s="4">
        <f t="shared" si="6"/>
        <v>7.1999999999999993</v>
      </c>
      <c r="W48" s="4">
        <f t="shared" si="7"/>
        <v>31.2</v>
      </c>
      <c r="X48" s="4" t="str">
        <f t="shared" si="8"/>
        <v/>
      </c>
    </row>
    <row r="49" spans="1:24" ht="15" customHeight="1" x14ac:dyDescent="0.2">
      <c r="A49" s="22">
        <v>28</v>
      </c>
      <c r="B49" s="91"/>
      <c r="C49" s="92" t="s">
        <v>271</v>
      </c>
      <c r="D49" s="92"/>
      <c r="E49" s="92" t="s">
        <v>523</v>
      </c>
      <c r="F49" s="92" t="s">
        <v>227</v>
      </c>
      <c r="G49" s="62">
        <v>15.63</v>
      </c>
      <c r="H49" s="62"/>
      <c r="I49" s="62"/>
      <c r="J49" s="22" t="s">
        <v>541</v>
      </c>
      <c r="K49" s="22" t="s">
        <v>144</v>
      </c>
      <c r="L49" s="41">
        <f>VLOOKUP(K49,Reinigungstage!A10:M31,13,FALSE)</f>
        <v>1</v>
      </c>
      <c r="M49" s="41">
        <f t="shared" si="0"/>
        <v>15.63</v>
      </c>
      <c r="N49" s="93"/>
      <c r="O49" s="41"/>
      <c r="P49" s="41">
        <f t="shared" si="1"/>
        <v>0</v>
      </c>
      <c r="Q49" s="41">
        <f t="shared" si="2"/>
        <v>0</v>
      </c>
      <c r="R49" s="41">
        <f t="shared" si="3"/>
        <v>0</v>
      </c>
      <c r="S49" s="4" t="str">
        <f t="shared" si="4"/>
        <v>Leistungswert eintragen</v>
      </c>
      <c r="U49" s="4">
        <f t="shared" si="5"/>
        <v>16.5</v>
      </c>
      <c r="V49" s="4">
        <f t="shared" si="6"/>
        <v>4.95</v>
      </c>
      <c r="W49" s="4">
        <f t="shared" si="7"/>
        <v>21.45</v>
      </c>
      <c r="X49" s="4" t="str">
        <f t="shared" si="8"/>
        <v/>
      </c>
    </row>
    <row r="50" spans="1:24" ht="15" customHeight="1" x14ac:dyDescent="0.2">
      <c r="A50" s="22">
        <v>29</v>
      </c>
      <c r="B50" s="91"/>
      <c r="C50" s="92" t="s">
        <v>271</v>
      </c>
      <c r="D50" s="92"/>
      <c r="E50" s="92" t="s">
        <v>524</v>
      </c>
      <c r="F50" s="92" t="s">
        <v>224</v>
      </c>
      <c r="G50" s="62">
        <v>3.62</v>
      </c>
      <c r="H50" s="62"/>
      <c r="I50" s="62"/>
      <c r="J50" s="22" t="s">
        <v>267</v>
      </c>
      <c r="K50" s="22" t="s">
        <v>144</v>
      </c>
      <c r="L50" s="41">
        <f>VLOOKUP(K50,Reinigungstage!A10:M31,13,FALSE)</f>
        <v>1</v>
      </c>
      <c r="M50" s="41">
        <f t="shared" si="0"/>
        <v>3.62</v>
      </c>
      <c r="N50" s="93"/>
      <c r="O50" s="41"/>
      <c r="P50" s="41">
        <f t="shared" si="1"/>
        <v>0</v>
      </c>
      <c r="Q50" s="41">
        <f t="shared" si="2"/>
        <v>0</v>
      </c>
      <c r="R50" s="41">
        <f t="shared" si="3"/>
        <v>0</v>
      </c>
      <c r="S50" s="4" t="str">
        <f t="shared" si="4"/>
        <v>Leistungswert eintragen</v>
      </c>
      <c r="U50" s="4">
        <f t="shared" si="5"/>
        <v>7</v>
      </c>
      <c r="V50" s="4">
        <f t="shared" si="6"/>
        <v>2.1</v>
      </c>
      <c r="W50" s="4">
        <f t="shared" si="7"/>
        <v>9.1</v>
      </c>
      <c r="X50" s="4" t="str">
        <f t="shared" si="8"/>
        <v/>
      </c>
    </row>
    <row r="51" spans="1:24" ht="15" customHeight="1" x14ac:dyDescent="0.2">
      <c r="A51" s="22">
        <v>30</v>
      </c>
      <c r="B51" s="91"/>
      <c r="C51" s="92" t="s">
        <v>271</v>
      </c>
      <c r="D51" s="92"/>
      <c r="E51" s="92" t="s">
        <v>525</v>
      </c>
      <c r="F51" s="92" t="s">
        <v>224</v>
      </c>
      <c r="G51" s="62">
        <v>1.57</v>
      </c>
      <c r="H51" s="62"/>
      <c r="I51" s="62"/>
      <c r="J51" s="22" t="s">
        <v>267</v>
      </c>
      <c r="K51" s="22" t="s">
        <v>144</v>
      </c>
      <c r="L51" s="41">
        <f>VLOOKUP(K51,Reinigungstage!A10:M31,13,FALSE)</f>
        <v>1</v>
      </c>
      <c r="M51" s="41">
        <f t="shared" si="0"/>
        <v>1.57</v>
      </c>
      <c r="N51" s="93"/>
      <c r="O51" s="41"/>
      <c r="P51" s="41">
        <f t="shared" si="1"/>
        <v>0</v>
      </c>
      <c r="Q51" s="41">
        <f t="shared" si="2"/>
        <v>0</v>
      </c>
      <c r="R51" s="41">
        <f t="shared" si="3"/>
        <v>0</v>
      </c>
      <c r="S51" s="4" t="str">
        <f t="shared" si="4"/>
        <v>Leistungswert eintragen</v>
      </c>
      <c r="U51" s="4">
        <f t="shared" si="5"/>
        <v>7</v>
      </c>
      <c r="V51" s="4">
        <f t="shared" si="6"/>
        <v>2.1</v>
      </c>
      <c r="W51" s="4">
        <f t="shared" si="7"/>
        <v>9.1</v>
      </c>
      <c r="X51" s="4" t="str">
        <f t="shared" si="8"/>
        <v/>
      </c>
    </row>
    <row r="52" spans="1:24" ht="15" customHeight="1" x14ac:dyDescent="0.2">
      <c r="A52" s="22">
        <v>31</v>
      </c>
      <c r="B52" s="91"/>
      <c r="C52" s="92" t="s">
        <v>271</v>
      </c>
      <c r="D52" s="92"/>
      <c r="E52" s="92" t="s">
        <v>526</v>
      </c>
      <c r="F52" s="92" t="s">
        <v>224</v>
      </c>
      <c r="G52" s="62">
        <v>7.65</v>
      </c>
      <c r="H52" s="62"/>
      <c r="I52" s="62"/>
      <c r="J52" s="22" t="s">
        <v>267</v>
      </c>
      <c r="K52" s="22" t="s">
        <v>144</v>
      </c>
      <c r="L52" s="41">
        <f>VLOOKUP(K52,Reinigungstage!A10:M31,13,FALSE)</f>
        <v>1</v>
      </c>
      <c r="M52" s="41">
        <f t="shared" si="0"/>
        <v>7.65</v>
      </c>
      <c r="N52" s="93"/>
      <c r="O52" s="41"/>
      <c r="P52" s="41">
        <f t="shared" si="1"/>
        <v>0</v>
      </c>
      <c r="Q52" s="41">
        <f t="shared" si="2"/>
        <v>0</v>
      </c>
      <c r="R52" s="41">
        <f t="shared" si="3"/>
        <v>0</v>
      </c>
      <c r="S52" s="4" t="str">
        <f t="shared" si="4"/>
        <v>Leistungswert eintragen</v>
      </c>
      <c r="U52" s="4">
        <f t="shared" si="5"/>
        <v>7</v>
      </c>
      <c r="V52" s="4">
        <f t="shared" si="6"/>
        <v>2.1</v>
      </c>
      <c r="W52" s="4">
        <f t="shared" si="7"/>
        <v>9.1</v>
      </c>
      <c r="X52" s="4" t="str">
        <f t="shared" si="8"/>
        <v/>
      </c>
    </row>
    <row r="53" spans="1:24" ht="15" customHeight="1" x14ac:dyDescent="0.2">
      <c r="A53" s="22">
        <v>32</v>
      </c>
      <c r="B53" s="91"/>
      <c r="C53" s="92" t="s">
        <v>271</v>
      </c>
      <c r="D53" s="92"/>
      <c r="E53" s="92" t="s">
        <v>527</v>
      </c>
      <c r="F53" s="92" t="s">
        <v>224</v>
      </c>
      <c r="G53" s="62">
        <v>3.62</v>
      </c>
      <c r="H53" s="62"/>
      <c r="I53" s="62"/>
      <c r="J53" s="22" t="s">
        <v>267</v>
      </c>
      <c r="K53" s="22" t="s">
        <v>144</v>
      </c>
      <c r="L53" s="41">
        <f>VLOOKUP(K53,Reinigungstage!A10:M31,13,FALSE)</f>
        <v>1</v>
      </c>
      <c r="M53" s="41">
        <f t="shared" ref="M53:M68" si="9">ROUND(IF(L53=0,0,L53*G53),2)</f>
        <v>3.62</v>
      </c>
      <c r="N53" s="93"/>
      <c r="O53" s="41"/>
      <c r="P53" s="41">
        <f t="shared" ref="P53:P68" si="10">ROUND(IF(N53=0,0,M53/N53),2)</f>
        <v>0</v>
      </c>
      <c r="Q53" s="41">
        <f t="shared" ref="Q53:Q68" si="11">ROUND(IF(P53=0,0,P53*O53),2)</f>
        <v>0</v>
      </c>
      <c r="R53" s="41">
        <f t="shared" ref="R53:R68" si="12">ROUND(IF(P53=0,0,Q53/L53),2)</f>
        <v>0</v>
      </c>
      <c r="S53" s="4" t="str">
        <f t="shared" ref="S53:S68" si="13">IF(M53=0,"",IF(N53=0,"Leistungswert eintragen",IF(O53=0,"SVS prüfen","")))</f>
        <v>Leistungswert eintragen</v>
      </c>
      <c r="U53" s="4">
        <f t="shared" ref="U53:U68" si="14">VLOOKUP(J53,$U$4:$V$10,2,FALSE)</f>
        <v>7</v>
      </c>
      <c r="V53" s="4">
        <f t="shared" ref="V53:V68" si="15">U53*30%</f>
        <v>2.1</v>
      </c>
      <c r="W53" s="4">
        <f t="shared" ref="W53:W68" si="16">SUM(U53:V53)</f>
        <v>9.1</v>
      </c>
      <c r="X53" s="4" t="str">
        <f t="shared" ref="X53:X68" si="17">IF(N53=0,"",IF(W53&lt;N53,1,IF(W53&gt;=N53,0,"")))</f>
        <v/>
      </c>
    </row>
    <row r="54" spans="1:24" ht="15" customHeight="1" x14ac:dyDescent="0.2">
      <c r="A54" s="22">
        <v>33</v>
      </c>
      <c r="B54" s="91"/>
      <c r="C54" s="92" t="s">
        <v>271</v>
      </c>
      <c r="D54" s="92"/>
      <c r="E54" s="92" t="s">
        <v>528</v>
      </c>
      <c r="F54" s="92" t="s">
        <v>224</v>
      </c>
      <c r="G54" s="62">
        <v>1.57</v>
      </c>
      <c r="H54" s="62"/>
      <c r="I54" s="62"/>
      <c r="J54" s="22" t="s">
        <v>267</v>
      </c>
      <c r="K54" s="22" t="s">
        <v>144</v>
      </c>
      <c r="L54" s="41">
        <f>VLOOKUP(K54,Reinigungstage!A10:M31,13,FALSE)</f>
        <v>1</v>
      </c>
      <c r="M54" s="41">
        <f t="shared" si="9"/>
        <v>1.57</v>
      </c>
      <c r="N54" s="93"/>
      <c r="O54" s="41"/>
      <c r="P54" s="41">
        <f t="shared" si="10"/>
        <v>0</v>
      </c>
      <c r="Q54" s="41">
        <f t="shared" si="11"/>
        <v>0</v>
      </c>
      <c r="R54" s="41">
        <f t="shared" si="12"/>
        <v>0</v>
      </c>
      <c r="S54" s="4" t="str">
        <f t="shared" si="13"/>
        <v>Leistungswert eintragen</v>
      </c>
      <c r="U54" s="4">
        <f t="shared" si="14"/>
        <v>7</v>
      </c>
      <c r="V54" s="4">
        <f t="shared" si="15"/>
        <v>2.1</v>
      </c>
      <c r="W54" s="4">
        <f t="shared" si="16"/>
        <v>9.1</v>
      </c>
      <c r="X54" s="4" t="str">
        <f t="shared" si="17"/>
        <v/>
      </c>
    </row>
    <row r="55" spans="1:24" ht="15" customHeight="1" x14ac:dyDescent="0.2">
      <c r="A55" s="22">
        <v>34</v>
      </c>
      <c r="B55" s="91"/>
      <c r="C55" s="92" t="s">
        <v>271</v>
      </c>
      <c r="D55" s="92"/>
      <c r="E55" s="92" t="s">
        <v>529</v>
      </c>
      <c r="F55" s="92" t="s">
        <v>227</v>
      </c>
      <c r="G55" s="62">
        <v>28.08</v>
      </c>
      <c r="H55" s="62"/>
      <c r="I55" s="62"/>
      <c r="J55" s="22" t="s">
        <v>541</v>
      </c>
      <c r="K55" s="22" t="s">
        <v>144</v>
      </c>
      <c r="L55" s="41">
        <f>VLOOKUP(K55,Reinigungstage!A10:M31,13,FALSE)</f>
        <v>1</v>
      </c>
      <c r="M55" s="41">
        <f t="shared" si="9"/>
        <v>28.08</v>
      </c>
      <c r="N55" s="93"/>
      <c r="O55" s="41"/>
      <c r="P55" s="41">
        <f t="shared" si="10"/>
        <v>0</v>
      </c>
      <c r="Q55" s="41">
        <f t="shared" si="11"/>
        <v>0</v>
      </c>
      <c r="R55" s="41">
        <f t="shared" si="12"/>
        <v>0</v>
      </c>
      <c r="S55" s="4" t="str">
        <f t="shared" si="13"/>
        <v>Leistungswert eintragen</v>
      </c>
      <c r="U55" s="4">
        <f t="shared" si="14"/>
        <v>16.5</v>
      </c>
      <c r="V55" s="4">
        <f t="shared" si="15"/>
        <v>4.95</v>
      </c>
      <c r="W55" s="4">
        <f t="shared" si="16"/>
        <v>21.45</v>
      </c>
      <c r="X55" s="4" t="str">
        <f t="shared" si="17"/>
        <v/>
      </c>
    </row>
    <row r="56" spans="1:24" ht="15" customHeight="1" x14ac:dyDescent="0.2">
      <c r="A56" s="22">
        <v>35</v>
      </c>
      <c r="B56" s="91"/>
      <c r="C56" s="92" t="s">
        <v>271</v>
      </c>
      <c r="D56" s="92"/>
      <c r="E56" s="92" t="s">
        <v>591</v>
      </c>
      <c r="F56" s="92" t="s">
        <v>227</v>
      </c>
      <c r="G56" s="62">
        <v>9.2200000000000006</v>
      </c>
      <c r="H56" s="62"/>
      <c r="I56" s="62"/>
      <c r="J56" s="22" t="s">
        <v>268</v>
      </c>
      <c r="K56" s="22" t="s">
        <v>144</v>
      </c>
      <c r="L56" s="41">
        <f>VLOOKUP(K56,Reinigungstage!A10:M31,13,FALSE)</f>
        <v>1</v>
      </c>
      <c r="M56" s="41">
        <f t="shared" si="9"/>
        <v>9.2200000000000006</v>
      </c>
      <c r="N56" s="93"/>
      <c r="O56" s="41"/>
      <c r="P56" s="41">
        <f t="shared" si="10"/>
        <v>0</v>
      </c>
      <c r="Q56" s="41">
        <f t="shared" si="11"/>
        <v>0</v>
      </c>
      <c r="R56" s="41">
        <f t="shared" si="12"/>
        <v>0</v>
      </c>
      <c r="S56" s="4" t="str">
        <f t="shared" si="13"/>
        <v>Leistungswert eintragen</v>
      </c>
      <c r="U56" s="4">
        <f t="shared" si="14"/>
        <v>20</v>
      </c>
      <c r="V56" s="4">
        <f t="shared" si="15"/>
        <v>6</v>
      </c>
      <c r="W56" s="4">
        <f t="shared" si="16"/>
        <v>26</v>
      </c>
      <c r="X56" s="4" t="str">
        <f t="shared" si="17"/>
        <v/>
      </c>
    </row>
    <row r="57" spans="1:24" ht="15" customHeight="1" x14ac:dyDescent="0.2">
      <c r="A57" s="22">
        <v>36</v>
      </c>
      <c r="B57" s="91"/>
      <c r="C57" s="92" t="s">
        <v>271</v>
      </c>
      <c r="D57" s="92"/>
      <c r="E57" s="92" t="s">
        <v>530</v>
      </c>
      <c r="F57" s="92" t="s">
        <v>227</v>
      </c>
      <c r="G57" s="62">
        <v>18.670000000000002</v>
      </c>
      <c r="H57" s="62"/>
      <c r="I57" s="62"/>
      <c r="J57" s="22" t="s">
        <v>264</v>
      </c>
      <c r="K57" s="22" t="s">
        <v>144</v>
      </c>
      <c r="L57" s="41">
        <f>VLOOKUP(K57,Reinigungstage!A10:M31,13,FALSE)</f>
        <v>1</v>
      </c>
      <c r="M57" s="41">
        <f t="shared" si="9"/>
        <v>18.670000000000002</v>
      </c>
      <c r="N57" s="93"/>
      <c r="O57" s="41"/>
      <c r="P57" s="41">
        <f t="shared" si="10"/>
        <v>0</v>
      </c>
      <c r="Q57" s="41">
        <f t="shared" si="11"/>
        <v>0</v>
      </c>
      <c r="R57" s="41">
        <f t="shared" si="12"/>
        <v>0</v>
      </c>
      <c r="S57" s="4" t="str">
        <f t="shared" si="13"/>
        <v>Leistungswert eintragen</v>
      </c>
      <c r="U57" s="4">
        <f t="shared" si="14"/>
        <v>24</v>
      </c>
      <c r="V57" s="4">
        <f t="shared" si="15"/>
        <v>7.1999999999999993</v>
      </c>
      <c r="W57" s="4">
        <f t="shared" si="16"/>
        <v>31.2</v>
      </c>
      <c r="X57" s="4" t="str">
        <f t="shared" si="17"/>
        <v/>
      </c>
    </row>
    <row r="58" spans="1:24" ht="15" customHeight="1" x14ac:dyDescent="0.2">
      <c r="A58" s="22">
        <v>37</v>
      </c>
      <c r="B58" s="91"/>
      <c r="C58" s="92" t="s">
        <v>271</v>
      </c>
      <c r="D58" s="92"/>
      <c r="E58" s="92" t="s">
        <v>590</v>
      </c>
      <c r="F58" s="92" t="s">
        <v>227</v>
      </c>
      <c r="G58" s="62">
        <v>19.170000000000002</v>
      </c>
      <c r="H58" s="62"/>
      <c r="I58" s="62"/>
      <c r="J58" s="22" t="s">
        <v>541</v>
      </c>
      <c r="K58" s="22" t="s">
        <v>144</v>
      </c>
      <c r="L58" s="41">
        <f>VLOOKUP(K58,Reinigungstage!A10:M31,13,FALSE)</f>
        <v>1</v>
      </c>
      <c r="M58" s="41">
        <f t="shared" si="9"/>
        <v>19.170000000000002</v>
      </c>
      <c r="N58" s="93"/>
      <c r="O58" s="41"/>
      <c r="P58" s="41">
        <f t="shared" si="10"/>
        <v>0</v>
      </c>
      <c r="Q58" s="41">
        <f t="shared" si="11"/>
        <v>0</v>
      </c>
      <c r="R58" s="41">
        <f t="shared" si="12"/>
        <v>0</v>
      </c>
      <c r="S58" s="4" t="str">
        <f t="shared" si="13"/>
        <v>Leistungswert eintragen</v>
      </c>
      <c r="U58" s="4">
        <f t="shared" si="14"/>
        <v>16.5</v>
      </c>
      <c r="V58" s="4">
        <f t="shared" si="15"/>
        <v>4.95</v>
      </c>
      <c r="W58" s="4">
        <f t="shared" si="16"/>
        <v>21.45</v>
      </c>
      <c r="X58" s="4" t="str">
        <f t="shared" si="17"/>
        <v/>
      </c>
    </row>
    <row r="59" spans="1:24" ht="15" customHeight="1" x14ac:dyDescent="0.2">
      <c r="A59" s="22">
        <v>38</v>
      </c>
      <c r="B59" s="91"/>
      <c r="C59" s="92" t="s">
        <v>271</v>
      </c>
      <c r="D59" s="92"/>
      <c r="E59" s="92" t="s">
        <v>531</v>
      </c>
      <c r="F59" s="92" t="s">
        <v>227</v>
      </c>
      <c r="G59" s="62">
        <v>26.43</v>
      </c>
      <c r="H59" s="62"/>
      <c r="I59" s="62"/>
      <c r="J59" s="22" t="s">
        <v>264</v>
      </c>
      <c r="K59" s="22" t="s">
        <v>144</v>
      </c>
      <c r="L59" s="41">
        <f>VLOOKUP(K59,Reinigungstage!A10:M31,13,FALSE)</f>
        <v>1</v>
      </c>
      <c r="M59" s="41">
        <f t="shared" si="9"/>
        <v>26.43</v>
      </c>
      <c r="N59" s="93"/>
      <c r="O59" s="41"/>
      <c r="P59" s="41">
        <f t="shared" si="10"/>
        <v>0</v>
      </c>
      <c r="Q59" s="41">
        <f t="shared" si="11"/>
        <v>0</v>
      </c>
      <c r="R59" s="41">
        <f t="shared" si="12"/>
        <v>0</v>
      </c>
      <c r="S59" s="4" t="str">
        <f t="shared" si="13"/>
        <v>Leistungswert eintragen</v>
      </c>
      <c r="U59" s="4">
        <f t="shared" si="14"/>
        <v>24</v>
      </c>
      <c r="V59" s="4">
        <f t="shared" si="15"/>
        <v>7.1999999999999993</v>
      </c>
      <c r="W59" s="4">
        <f t="shared" si="16"/>
        <v>31.2</v>
      </c>
      <c r="X59" s="4" t="str">
        <f t="shared" si="17"/>
        <v/>
      </c>
    </row>
    <row r="60" spans="1:24" ht="15" customHeight="1" x14ac:dyDescent="0.2">
      <c r="A60" s="22">
        <v>39</v>
      </c>
      <c r="B60" s="91"/>
      <c r="C60" s="92" t="s">
        <v>271</v>
      </c>
      <c r="D60" s="92"/>
      <c r="E60" s="92" t="s">
        <v>215</v>
      </c>
      <c r="F60" s="92" t="s">
        <v>227</v>
      </c>
      <c r="G60" s="62">
        <v>925</v>
      </c>
      <c r="H60" s="62"/>
      <c r="I60" s="62"/>
      <c r="J60" s="22" t="s">
        <v>542</v>
      </c>
      <c r="K60" s="22" t="s">
        <v>144</v>
      </c>
      <c r="L60" s="41">
        <f>VLOOKUP(K60,Reinigungstage!A10:M31,13,FALSE)</f>
        <v>1</v>
      </c>
      <c r="M60" s="41">
        <f t="shared" si="9"/>
        <v>925</v>
      </c>
      <c r="N60" s="93"/>
      <c r="O60" s="41"/>
      <c r="P60" s="41">
        <f t="shared" si="10"/>
        <v>0</v>
      </c>
      <c r="Q60" s="41">
        <f t="shared" si="11"/>
        <v>0</v>
      </c>
      <c r="R60" s="41">
        <f t="shared" si="12"/>
        <v>0</v>
      </c>
      <c r="S60" s="4" t="str">
        <f t="shared" si="13"/>
        <v>Leistungswert eintragen</v>
      </c>
      <c r="U60" s="4">
        <f t="shared" si="14"/>
        <v>25.5</v>
      </c>
      <c r="V60" s="4">
        <f t="shared" si="15"/>
        <v>7.6499999999999995</v>
      </c>
      <c r="W60" s="4">
        <f t="shared" si="16"/>
        <v>33.15</v>
      </c>
      <c r="X60" s="4" t="str">
        <f t="shared" si="17"/>
        <v/>
      </c>
    </row>
    <row r="61" spans="1:24" ht="15" customHeight="1" x14ac:dyDescent="0.2">
      <c r="A61" s="22">
        <v>40</v>
      </c>
      <c r="B61" s="91"/>
      <c r="C61" s="92" t="s">
        <v>271</v>
      </c>
      <c r="D61" s="92"/>
      <c r="E61" s="92" t="s">
        <v>532</v>
      </c>
      <c r="F61" s="92" t="s">
        <v>227</v>
      </c>
      <c r="G61" s="62">
        <v>17.899999999999999</v>
      </c>
      <c r="H61" s="62"/>
      <c r="I61" s="62"/>
      <c r="J61" s="22" t="s">
        <v>264</v>
      </c>
      <c r="K61" s="22" t="s">
        <v>144</v>
      </c>
      <c r="L61" s="41">
        <f>VLOOKUP(K61,Reinigungstage!A10:M31,13,FALSE)</f>
        <v>1</v>
      </c>
      <c r="M61" s="41">
        <f t="shared" si="9"/>
        <v>17.899999999999999</v>
      </c>
      <c r="N61" s="93"/>
      <c r="O61" s="41"/>
      <c r="P61" s="41">
        <f t="shared" si="10"/>
        <v>0</v>
      </c>
      <c r="Q61" s="41">
        <f t="shared" si="11"/>
        <v>0</v>
      </c>
      <c r="R61" s="41">
        <f t="shared" si="12"/>
        <v>0</v>
      </c>
      <c r="S61" s="4" t="str">
        <f t="shared" si="13"/>
        <v>Leistungswert eintragen</v>
      </c>
      <c r="U61" s="4">
        <f t="shared" si="14"/>
        <v>24</v>
      </c>
      <c r="V61" s="4">
        <f t="shared" si="15"/>
        <v>7.1999999999999993</v>
      </c>
      <c r="W61" s="4">
        <f t="shared" si="16"/>
        <v>31.2</v>
      </c>
      <c r="X61" s="4" t="str">
        <f t="shared" si="17"/>
        <v/>
      </c>
    </row>
    <row r="62" spans="1:24" ht="15" customHeight="1" x14ac:dyDescent="0.2">
      <c r="A62" s="22">
        <v>41</v>
      </c>
      <c r="B62" s="91"/>
      <c r="C62" s="92" t="s">
        <v>271</v>
      </c>
      <c r="D62" s="92"/>
      <c r="E62" s="92" t="s">
        <v>533</v>
      </c>
      <c r="F62" s="92" t="s">
        <v>227</v>
      </c>
      <c r="G62" s="62">
        <v>109.7</v>
      </c>
      <c r="H62" s="62"/>
      <c r="I62" s="62"/>
      <c r="J62" s="22" t="s">
        <v>266</v>
      </c>
      <c r="K62" s="22" t="s">
        <v>144</v>
      </c>
      <c r="L62" s="41">
        <f>VLOOKUP(K62,Reinigungstage!A10:M31,13,FALSE)</f>
        <v>1</v>
      </c>
      <c r="M62" s="41">
        <f t="shared" si="9"/>
        <v>109.7</v>
      </c>
      <c r="N62" s="93"/>
      <c r="O62" s="41"/>
      <c r="P62" s="41">
        <f t="shared" si="10"/>
        <v>0</v>
      </c>
      <c r="Q62" s="41">
        <f t="shared" si="11"/>
        <v>0</v>
      </c>
      <c r="R62" s="41">
        <f t="shared" si="12"/>
        <v>0</v>
      </c>
      <c r="S62" s="4" t="str">
        <f t="shared" si="13"/>
        <v>Leistungswert eintragen</v>
      </c>
      <c r="U62" s="4">
        <f t="shared" si="14"/>
        <v>15</v>
      </c>
      <c r="V62" s="4">
        <f t="shared" si="15"/>
        <v>4.5</v>
      </c>
      <c r="W62" s="4">
        <f t="shared" si="16"/>
        <v>19.5</v>
      </c>
      <c r="X62" s="4" t="str">
        <f t="shared" si="17"/>
        <v/>
      </c>
    </row>
    <row r="63" spans="1:24" ht="15" customHeight="1" x14ac:dyDescent="0.2">
      <c r="A63" s="22">
        <v>42</v>
      </c>
      <c r="B63" s="91"/>
      <c r="C63" s="92" t="s">
        <v>271</v>
      </c>
      <c r="D63" s="92"/>
      <c r="E63" s="92" t="s">
        <v>534</v>
      </c>
      <c r="F63" s="92" t="s">
        <v>227</v>
      </c>
      <c r="G63" s="62">
        <v>35.9</v>
      </c>
      <c r="H63" s="62"/>
      <c r="I63" s="62"/>
      <c r="J63" s="22" t="s">
        <v>268</v>
      </c>
      <c r="K63" s="22" t="s">
        <v>144</v>
      </c>
      <c r="L63" s="41">
        <f>VLOOKUP(K63,Reinigungstage!A10:M31,13,FALSE)</f>
        <v>1</v>
      </c>
      <c r="M63" s="41">
        <f t="shared" si="9"/>
        <v>35.9</v>
      </c>
      <c r="N63" s="93"/>
      <c r="O63" s="41"/>
      <c r="P63" s="41">
        <f t="shared" si="10"/>
        <v>0</v>
      </c>
      <c r="Q63" s="41">
        <f t="shared" si="11"/>
        <v>0</v>
      </c>
      <c r="R63" s="41">
        <f t="shared" si="12"/>
        <v>0</v>
      </c>
      <c r="S63" s="4" t="str">
        <f t="shared" si="13"/>
        <v>Leistungswert eintragen</v>
      </c>
      <c r="U63" s="4">
        <f t="shared" si="14"/>
        <v>20</v>
      </c>
      <c r="V63" s="4">
        <f t="shared" si="15"/>
        <v>6</v>
      </c>
      <c r="W63" s="4">
        <f t="shared" si="16"/>
        <v>26</v>
      </c>
      <c r="X63" s="4" t="str">
        <f t="shared" si="17"/>
        <v/>
      </c>
    </row>
    <row r="64" spans="1:24" ht="15" customHeight="1" x14ac:dyDescent="0.2">
      <c r="A64" s="22">
        <v>43</v>
      </c>
      <c r="B64" s="91"/>
      <c r="C64" s="92" t="s">
        <v>271</v>
      </c>
      <c r="D64" s="92"/>
      <c r="E64" s="92" t="s">
        <v>535</v>
      </c>
      <c r="F64" s="92" t="s">
        <v>227</v>
      </c>
      <c r="G64" s="62">
        <v>2.11</v>
      </c>
      <c r="H64" s="62"/>
      <c r="I64" s="62"/>
      <c r="J64" s="22" t="s">
        <v>268</v>
      </c>
      <c r="K64" s="22" t="s">
        <v>144</v>
      </c>
      <c r="L64" s="41">
        <f>VLOOKUP(K64,Reinigungstage!A10:M31,13,FALSE)</f>
        <v>1</v>
      </c>
      <c r="M64" s="41">
        <f t="shared" si="9"/>
        <v>2.11</v>
      </c>
      <c r="N64" s="93"/>
      <c r="O64" s="41"/>
      <c r="P64" s="41">
        <f t="shared" si="10"/>
        <v>0</v>
      </c>
      <c r="Q64" s="41">
        <f t="shared" si="11"/>
        <v>0</v>
      </c>
      <c r="R64" s="41">
        <f t="shared" si="12"/>
        <v>0</v>
      </c>
      <c r="S64" s="4" t="str">
        <f t="shared" si="13"/>
        <v>Leistungswert eintragen</v>
      </c>
      <c r="U64" s="4">
        <f t="shared" si="14"/>
        <v>20</v>
      </c>
      <c r="V64" s="4">
        <f t="shared" si="15"/>
        <v>6</v>
      </c>
      <c r="W64" s="4">
        <f t="shared" si="16"/>
        <v>26</v>
      </c>
      <c r="X64" s="4" t="str">
        <f t="shared" si="17"/>
        <v/>
      </c>
    </row>
    <row r="65" spans="1:24" ht="15" customHeight="1" x14ac:dyDescent="0.2">
      <c r="A65" s="22">
        <v>44</v>
      </c>
      <c r="B65" s="91"/>
      <c r="C65" s="92" t="s">
        <v>271</v>
      </c>
      <c r="D65" s="92"/>
      <c r="E65" s="92" t="s">
        <v>536</v>
      </c>
      <c r="F65" s="92" t="s">
        <v>227</v>
      </c>
      <c r="G65" s="62">
        <v>27.4</v>
      </c>
      <c r="H65" s="62"/>
      <c r="I65" s="62"/>
      <c r="J65" s="22" t="s">
        <v>268</v>
      </c>
      <c r="K65" s="22" t="s">
        <v>144</v>
      </c>
      <c r="L65" s="41">
        <f>VLOOKUP(K65,Reinigungstage!A10:M31,13,FALSE)</f>
        <v>1</v>
      </c>
      <c r="M65" s="41">
        <f t="shared" si="9"/>
        <v>27.4</v>
      </c>
      <c r="N65" s="93"/>
      <c r="O65" s="41"/>
      <c r="P65" s="41">
        <f t="shared" si="10"/>
        <v>0</v>
      </c>
      <c r="Q65" s="41">
        <f t="shared" si="11"/>
        <v>0</v>
      </c>
      <c r="R65" s="41">
        <f t="shared" si="12"/>
        <v>0</v>
      </c>
      <c r="S65" s="4" t="str">
        <f t="shared" si="13"/>
        <v>Leistungswert eintragen</v>
      </c>
      <c r="U65" s="4">
        <f t="shared" si="14"/>
        <v>20</v>
      </c>
      <c r="V65" s="4">
        <f t="shared" si="15"/>
        <v>6</v>
      </c>
      <c r="W65" s="4">
        <f t="shared" si="16"/>
        <v>26</v>
      </c>
      <c r="X65" s="4" t="str">
        <f t="shared" si="17"/>
        <v/>
      </c>
    </row>
    <row r="66" spans="1:24" ht="15" customHeight="1" x14ac:dyDescent="0.2">
      <c r="A66" s="22">
        <v>45</v>
      </c>
      <c r="B66" s="91"/>
      <c r="C66" s="92" t="s">
        <v>271</v>
      </c>
      <c r="D66" s="92"/>
      <c r="E66" s="92" t="s">
        <v>537</v>
      </c>
      <c r="F66" s="92" t="s">
        <v>227</v>
      </c>
      <c r="G66" s="62">
        <v>19.8</v>
      </c>
      <c r="H66" s="62"/>
      <c r="I66" s="62"/>
      <c r="J66" s="22" t="s">
        <v>268</v>
      </c>
      <c r="K66" s="22" t="s">
        <v>144</v>
      </c>
      <c r="L66" s="41">
        <f>VLOOKUP(K66,Reinigungstage!A10:M31,13,FALSE)</f>
        <v>1</v>
      </c>
      <c r="M66" s="41">
        <f t="shared" si="9"/>
        <v>19.8</v>
      </c>
      <c r="N66" s="93"/>
      <c r="O66" s="41"/>
      <c r="P66" s="41">
        <f t="shared" si="10"/>
        <v>0</v>
      </c>
      <c r="Q66" s="41">
        <f t="shared" si="11"/>
        <v>0</v>
      </c>
      <c r="R66" s="41">
        <f t="shared" si="12"/>
        <v>0</v>
      </c>
      <c r="S66" s="4" t="str">
        <f t="shared" si="13"/>
        <v>Leistungswert eintragen</v>
      </c>
      <c r="U66" s="4">
        <f t="shared" si="14"/>
        <v>20</v>
      </c>
      <c r="V66" s="4">
        <f t="shared" si="15"/>
        <v>6</v>
      </c>
      <c r="W66" s="4">
        <f t="shared" si="16"/>
        <v>26</v>
      </c>
      <c r="X66" s="4" t="str">
        <f t="shared" si="17"/>
        <v/>
      </c>
    </row>
    <row r="67" spans="1:24" ht="15" customHeight="1" x14ac:dyDescent="0.2">
      <c r="A67" s="22">
        <v>46</v>
      </c>
      <c r="B67" s="91"/>
      <c r="C67" s="92" t="s">
        <v>271</v>
      </c>
      <c r="D67" s="92"/>
      <c r="E67" s="92" t="s">
        <v>538</v>
      </c>
      <c r="F67" s="92" t="s">
        <v>227</v>
      </c>
      <c r="G67" s="62">
        <v>20</v>
      </c>
      <c r="H67" s="62"/>
      <c r="I67" s="62"/>
      <c r="J67" s="22" t="s">
        <v>268</v>
      </c>
      <c r="K67" s="22" t="s">
        <v>144</v>
      </c>
      <c r="L67" s="41">
        <f>VLOOKUP(K67,Reinigungstage!A10:M31,13,FALSE)</f>
        <v>1</v>
      </c>
      <c r="M67" s="41">
        <f t="shared" si="9"/>
        <v>20</v>
      </c>
      <c r="N67" s="93"/>
      <c r="O67" s="41"/>
      <c r="P67" s="41">
        <f t="shared" si="10"/>
        <v>0</v>
      </c>
      <c r="Q67" s="41">
        <f t="shared" si="11"/>
        <v>0</v>
      </c>
      <c r="R67" s="41">
        <f t="shared" si="12"/>
        <v>0</v>
      </c>
      <c r="S67" s="4" t="str">
        <f t="shared" si="13"/>
        <v>Leistungswert eintragen</v>
      </c>
      <c r="U67" s="4">
        <f t="shared" si="14"/>
        <v>20</v>
      </c>
      <c r="V67" s="4">
        <f t="shared" si="15"/>
        <v>6</v>
      </c>
      <c r="W67" s="4">
        <f t="shared" si="16"/>
        <v>26</v>
      </c>
      <c r="X67" s="4" t="str">
        <f t="shared" si="17"/>
        <v/>
      </c>
    </row>
    <row r="68" spans="1:24" ht="15" customHeight="1" x14ac:dyDescent="0.2">
      <c r="A68" s="22">
        <v>47</v>
      </c>
      <c r="B68" s="91"/>
      <c r="C68" s="92" t="s">
        <v>271</v>
      </c>
      <c r="D68" s="92"/>
      <c r="E68" s="92" t="s">
        <v>539</v>
      </c>
      <c r="F68" s="92" t="s">
        <v>227</v>
      </c>
      <c r="G68" s="62">
        <v>21.6</v>
      </c>
      <c r="H68" s="62"/>
      <c r="I68" s="62"/>
      <c r="J68" s="22" t="s">
        <v>268</v>
      </c>
      <c r="K68" s="22" t="s">
        <v>144</v>
      </c>
      <c r="L68" s="41">
        <f>VLOOKUP(K68,Reinigungstage!A10:M31,13,FALSE)</f>
        <v>1</v>
      </c>
      <c r="M68" s="41">
        <f t="shared" si="9"/>
        <v>21.6</v>
      </c>
      <c r="N68" s="93"/>
      <c r="O68" s="41"/>
      <c r="P68" s="41">
        <f t="shared" si="10"/>
        <v>0</v>
      </c>
      <c r="Q68" s="41">
        <f t="shared" si="11"/>
        <v>0</v>
      </c>
      <c r="R68" s="41">
        <f t="shared" si="12"/>
        <v>0</v>
      </c>
      <c r="S68" s="4" t="str">
        <f t="shared" si="13"/>
        <v>Leistungswert eintragen</v>
      </c>
      <c r="U68" s="4">
        <f t="shared" si="14"/>
        <v>20</v>
      </c>
      <c r="V68" s="4">
        <f t="shared" si="15"/>
        <v>6</v>
      </c>
      <c r="W68" s="4">
        <f t="shared" si="16"/>
        <v>26</v>
      </c>
      <c r="X68" s="4" t="str">
        <f t="shared" si="17"/>
        <v/>
      </c>
    </row>
  </sheetData>
  <sortState xmlns:xlrd2="http://schemas.microsoft.com/office/spreadsheetml/2017/richdata2" ref="U4:U10">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42"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41" priority="5" operator="containsText" text="Bitte prüfen Sie diese.">
      <formula>NOT(ISERROR(SEARCH("Bitte prüfen Sie diese.",L9)))</formula>
    </cfRule>
  </conditionalFormatting>
  <conditionalFormatting sqref="L10">
    <cfRule type="containsText" dxfId="40"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39" priority="3" operator="containsText" text="lediglich Fehleingaben vermeiden wollen.">
      <formula>NOT(ISERROR(SEARCH("lediglich Fehleingaben vermeiden wollen.",L11)))</formula>
    </cfRule>
  </conditionalFormatting>
  <conditionalFormatting sqref="M11">
    <cfRule type="containsText" dxfId="38"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37" priority="2" stopIfTrue="1">
      <formula>N13=0</formula>
    </cfRule>
  </conditionalFormatting>
  <conditionalFormatting sqref="N14">
    <cfRule type="expression" dxfId="36" priority="1">
      <formula>N14=0</formula>
    </cfRule>
  </conditionalFormatting>
  <conditionalFormatting sqref="O13">
    <cfRule type="containsText" dxfId="35"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34" priority="8" operator="containsText" text="Wert(e) prüfen.">
      <formula>NOT(ISERROR(SEARCH("Wert(e) prüfen.",O14)))</formula>
    </cfRule>
  </conditionalFormatting>
  <conditionalFormatting sqref="S22:S68">
    <cfRule type="containsText" dxfId="33" priority="12" stopIfTrue="1" operator="containsText" text="SVS prüfen">
      <formula>NOT(ISERROR(SEARCH("SVS prüfen",S22)))</formula>
    </cfRule>
    <cfRule type="containsText" dxfId="32" priority="13" stopIfTrue="1" operator="containsText" text="Leistungswert eintragen">
      <formula>NOT(ISERROR(SEARCH("Leistungswert eintragen",S22)))</formula>
    </cfRule>
  </conditionalFormatting>
  <hyperlinks>
    <hyperlink ref="M1" location="Inhaltsverzeichnis!A1" display="Zurück zum Inhaltsverzeichnis" xr:uid="{00000000-0004-0000-0D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PvH SH&amp;LAmt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100354"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100355"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100356"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6FF66"/>
  </sheetPr>
  <dimension ref="A1:U27"/>
  <sheetViews>
    <sheetView showGridLines="0" zoomScaleNormal="100" workbookViewId="0">
      <pane ySplit="21" topLeftCell="A22" activePane="bottomLeft" state="frozen"/>
      <selection pane="bottomLeft" activeCell="S36" sqref="S36"/>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4.42578125" style="4"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2.140625" style="4" customWidth="1"/>
    <col min="14" max="14" width="9.42578125" style="4" customWidth="1"/>
    <col min="15" max="15" width="8.42578125" style="4" customWidth="1"/>
    <col min="16" max="17" width="11.42578125" style="4" customWidth="1"/>
    <col min="18" max="19" width="11.28515625" style="4" customWidth="1"/>
    <col min="20" max="20" width="22.28515625" style="4" customWidth="1"/>
    <col min="21" max="21" width="0" style="4" hidden="1" customWidth="1"/>
    <col min="22" max="16384" width="11.42578125" style="4" hidden="1"/>
  </cols>
  <sheetData>
    <row r="1" spans="1:21" ht="15" customHeight="1" x14ac:dyDescent="0.2">
      <c r="M1" s="6" t="s">
        <v>100</v>
      </c>
    </row>
    <row r="2" spans="1:21" ht="21" customHeight="1" x14ac:dyDescent="0.2">
      <c r="A2" s="174" t="s">
        <v>158</v>
      </c>
      <c r="B2" s="175"/>
      <c r="C2" s="175"/>
      <c r="D2" s="175" t="b">
        <v>0</v>
      </c>
      <c r="E2" s="176"/>
      <c r="G2" s="177" t="s">
        <v>171</v>
      </c>
      <c r="H2" s="177" t="s">
        <v>163</v>
      </c>
      <c r="I2" s="177" t="s">
        <v>164</v>
      </c>
      <c r="J2" s="177" t="s">
        <v>183</v>
      </c>
      <c r="M2" s="42"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1" ht="21" customHeight="1" x14ac:dyDescent="0.2">
      <c r="A3" s="81" t="s">
        <v>159</v>
      </c>
      <c r="B3" s="82"/>
      <c r="C3" s="82"/>
      <c r="D3" s="82"/>
      <c r="E3" s="83"/>
      <c r="G3" s="178"/>
      <c r="H3" s="178" t="b">
        <v>0</v>
      </c>
      <c r="I3" s="178"/>
      <c r="J3" s="178"/>
      <c r="M3" s="42" t="b">
        <v>0</v>
      </c>
      <c r="N3" s="150"/>
      <c r="O3" s="150"/>
      <c r="P3" s="150"/>
      <c r="Q3" s="150"/>
    </row>
    <row r="4" spans="1:21" ht="15" customHeight="1" x14ac:dyDescent="0.2">
      <c r="A4" s="172" t="s">
        <v>91</v>
      </c>
      <c r="B4" s="182" t="str">
        <f>IF(Inhaltsverzeichnis!C3="","",Inhaltsverzeichnis!C3)</f>
        <v/>
      </c>
      <c r="C4" s="183"/>
      <c r="D4" s="183"/>
      <c r="E4" s="184"/>
      <c r="G4" s="22" t="s">
        <v>272</v>
      </c>
      <c r="H4" s="84"/>
      <c r="I4" s="85">
        <f ca="1">SUMIF('Kal Unter PvH soz Gruppe'!J22:M27,$G$4,'Kal Unter PvH soz Gruppe'!M22:M27)</f>
        <v>1002.72</v>
      </c>
      <c r="J4" s="60">
        <f>COUNTIFS('Kal Unter PvH soz Gruppe'!J22:M27,$G$4)</f>
        <v>1</v>
      </c>
      <c r="M4" s="42" t="b">
        <v>0</v>
      </c>
      <c r="N4" s="150"/>
      <c r="O4" s="150"/>
      <c r="P4" s="150"/>
      <c r="Q4" s="150"/>
      <c r="U4" s="22" t="s">
        <v>272</v>
      </c>
    </row>
    <row r="5" spans="1:21" ht="15" customHeight="1" x14ac:dyDescent="0.2">
      <c r="A5" s="173"/>
      <c r="B5" s="185"/>
      <c r="C5" s="186"/>
      <c r="D5" s="186"/>
      <c r="E5" s="187"/>
      <c r="G5" s="22" t="s">
        <v>267</v>
      </c>
      <c r="H5" s="84"/>
      <c r="I5" s="85">
        <f ca="1">SUMIF('Kal Unter PvH soz Gruppe'!J22:M27,$G$5,'Kal Unter PvH soz Gruppe'!M22:M27)</f>
        <v>496.76</v>
      </c>
      <c r="J5" s="60">
        <f>COUNTIFS('Kal Unter PvH soz Gruppe'!J22:M27,$G$5)</f>
        <v>1</v>
      </c>
      <c r="M5" s="42" t="b">
        <v>0</v>
      </c>
      <c r="N5" s="150"/>
      <c r="O5" s="150"/>
      <c r="P5" s="150"/>
      <c r="Q5" s="150"/>
      <c r="U5" s="22" t="s">
        <v>267</v>
      </c>
    </row>
    <row r="6" spans="1:21" ht="15" customHeight="1" x14ac:dyDescent="0.2">
      <c r="A6" s="143" t="s">
        <v>181</v>
      </c>
      <c r="B6" s="188" t="s">
        <v>204</v>
      </c>
      <c r="C6" s="189"/>
      <c r="D6" s="189"/>
      <c r="E6" s="190"/>
      <c r="G6" s="22" t="s">
        <v>270</v>
      </c>
      <c r="H6" s="84"/>
      <c r="I6" s="85">
        <f ca="1">SUMIF('Kal Unter PvH soz Gruppe'!J22:M27,$G$6,'Kal Unter PvH soz Gruppe'!M22:M27)</f>
        <v>433.28</v>
      </c>
      <c r="J6" s="60">
        <f>COUNTIFS('Kal Unter PvH soz Gruppe'!J22:M27,$G$6)</f>
        <v>1</v>
      </c>
      <c r="U6" s="22" t="s">
        <v>270</v>
      </c>
    </row>
    <row r="7" spans="1:21" ht="15" customHeight="1" x14ac:dyDescent="0.2">
      <c r="A7" s="87" t="s">
        <v>179</v>
      </c>
      <c r="B7" s="191" t="s">
        <v>205</v>
      </c>
      <c r="C7" s="192"/>
      <c r="D7" s="192"/>
      <c r="E7" s="193"/>
      <c r="G7" s="22" t="s">
        <v>264</v>
      </c>
      <c r="H7" s="84"/>
      <c r="I7" s="85">
        <f ca="1">SUMIF('Kal Unter PvH soz Gruppe'!J22:M27,$G$7,'Kal Unter PvH soz Gruppe'!M22:M27)</f>
        <v>245.55</v>
      </c>
      <c r="J7" s="60">
        <f>COUNTIFS('Kal Unter PvH soz Gruppe'!J22:M27,$G$7)</f>
        <v>2</v>
      </c>
      <c r="U7" s="22" t="s">
        <v>264</v>
      </c>
    </row>
    <row r="8" spans="1:21" ht="15" customHeight="1" x14ac:dyDescent="0.2">
      <c r="A8" s="87" t="s">
        <v>180</v>
      </c>
      <c r="B8" s="194" t="s">
        <v>217</v>
      </c>
      <c r="C8" s="192"/>
      <c r="D8" s="192"/>
      <c r="E8" s="193"/>
      <c r="G8" s="22" t="s">
        <v>269</v>
      </c>
      <c r="H8" s="84"/>
      <c r="I8" s="85">
        <f ca="1">SUMIF('Kal Unter PvH soz Gruppe'!J22:M27,$G$8,'Kal Unter PvH soz Gruppe'!M22:M27)</f>
        <v>295.58</v>
      </c>
      <c r="J8" s="60">
        <f>COUNTIFS('Kal Unter PvH soz Gruppe'!J22:M27,$G$8)</f>
        <v>1</v>
      </c>
      <c r="U8" s="22" t="s">
        <v>269</v>
      </c>
    </row>
    <row r="9" spans="1:21" ht="15" customHeight="1" x14ac:dyDescent="0.2">
      <c r="A9" s="86" t="s">
        <v>178</v>
      </c>
      <c r="B9" s="195" t="s">
        <v>216</v>
      </c>
      <c r="C9" s="192"/>
      <c r="D9" s="192"/>
      <c r="E9" s="193"/>
    </row>
    <row r="10" spans="1:21" ht="15" customHeight="1" x14ac:dyDescent="0.2">
      <c r="A10" s="87" t="s">
        <v>160</v>
      </c>
      <c r="B10" s="194" t="s">
        <v>207</v>
      </c>
      <c r="C10" s="192"/>
      <c r="D10" s="192"/>
      <c r="E10" s="193"/>
    </row>
    <row r="11" spans="1:21" ht="15" customHeight="1" x14ac:dyDescent="0.2">
      <c r="A11" s="87" t="s">
        <v>161</v>
      </c>
      <c r="B11" s="196" t="s">
        <v>208</v>
      </c>
      <c r="C11" s="192"/>
      <c r="D11" s="192"/>
      <c r="E11" s="193"/>
    </row>
    <row r="12" spans="1:21" ht="15" customHeight="1" x14ac:dyDescent="0.2">
      <c r="A12" s="87" t="s">
        <v>162</v>
      </c>
      <c r="B12" s="194" t="s">
        <v>209</v>
      </c>
      <c r="C12" s="192"/>
      <c r="D12" s="192"/>
      <c r="E12" s="193"/>
    </row>
    <row r="13" spans="1:21"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1" ht="15" customHeight="1" x14ac:dyDescent="0.2">
      <c r="T14" s="19">
        <f>IF(COUNTA($T$22:$T$27)-COUNTBLANK($T$22:$T$27)=0,"",COUNTA($T$22:$T$27)-COUNTBLANK($T$22:$T$27))</f>
        <v>6</v>
      </c>
    </row>
    <row r="15" spans="1:21" ht="15" hidden="1" customHeight="1" x14ac:dyDescent="0.2"/>
    <row r="16" spans="1:21" ht="15" hidden="1" customHeight="1" x14ac:dyDescent="0.2"/>
    <row r="17" spans="1:21" ht="15" hidden="1" customHeight="1" x14ac:dyDescent="0.2"/>
    <row r="18" spans="1:21" ht="15" hidden="1" customHeight="1" x14ac:dyDescent="0.2"/>
    <row r="19" spans="1:21" ht="15" hidden="1" customHeight="1" x14ac:dyDescent="0.2"/>
    <row r="20" spans="1:21" ht="45" customHeight="1" x14ac:dyDescent="0.2">
      <c r="A20" s="2" t="s">
        <v>92</v>
      </c>
      <c r="B20" s="2" t="s">
        <v>97</v>
      </c>
      <c r="C20" s="2" t="s">
        <v>93</v>
      </c>
      <c r="D20" s="2" t="s">
        <v>94</v>
      </c>
      <c r="E20" s="2" t="s">
        <v>98</v>
      </c>
      <c r="F20" s="2" t="s">
        <v>95</v>
      </c>
      <c r="G20" s="2" t="s">
        <v>115</v>
      </c>
      <c r="H20" s="2" t="s">
        <v>106</v>
      </c>
      <c r="I20" s="2" t="s">
        <v>107</v>
      </c>
      <c r="J20" s="2" t="s">
        <v>99</v>
      </c>
      <c r="K20" s="2" t="s">
        <v>104</v>
      </c>
      <c r="L20" s="2" t="s">
        <v>135</v>
      </c>
      <c r="M20" s="2" t="s">
        <v>109</v>
      </c>
      <c r="N20" s="2" t="s">
        <v>105</v>
      </c>
      <c r="O20" s="2" t="s">
        <v>110</v>
      </c>
      <c r="P20" s="2" t="s">
        <v>111</v>
      </c>
      <c r="Q20" s="2" t="s">
        <v>112</v>
      </c>
      <c r="R20" s="2" t="s">
        <v>182</v>
      </c>
      <c r="S20" s="2" t="s">
        <v>134</v>
      </c>
    </row>
    <row r="21" spans="1:21" ht="29.1" customHeight="1" x14ac:dyDescent="0.2">
      <c r="A21" s="88" t="s">
        <v>119</v>
      </c>
      <c r="B21" s="13"/>
      <c r="C21" s="13"/>
      <c r="D21" s="13"/>
      <c r="E21" s="13"/>
      <c r="F21" s="13"/>
      <c r="G21" s="89">
        <f>SUM($G$22:$G$27)</f>
        <v>52.59</v>
      </c>
      <c r="H21" s="89">
        <f>SUM($H$22:$H$27)</f>
        <v>0</v>
      </c>
      <c r="I21" s="89">
        <f>SUM($I$22:$I$27)</f>
        <v>0</v>
      </c>
      <c r="J21" s="41"/>
      <c r="K21" s="41"/>
      <c r="L21" s="90">
        <f>MAX(L22:L27)</f>
        <v>186.75</v>
      </c>
      <c r="M21" s="89">
        <f>SUM($M$22:$M$27)</f>
        <v>2473.89</v>
      </c>
      <c r="N21" s="41"/>
      <c r="O21" s="41"/>
      <c r="P21" s="89">
        <f>SUM($P$22:$P$27)</f>
        <v>0</v>
      </c>
      <c r="Q21" s="89">
        <f>SUM($Q$22:$Q$27)</f>
        <v>0</v>
      </c>
      <c r="R21" s="89">
        <f>ROUND(IF(L21=0,0,P21/L21),2)</f>
        <v>0</v>
      </c>
      <c r="S21" s="89">
        <f>ROUND(IF(L21=0,0,Q21/L21),2)</f>
        <v>0</v>
      </c>
    </row>
    <row r="22" spans="1:21" ht="15" customHeight="1" x14ac:dyDescent="0.2">
      <c r="A22" s="22">
        <v>1</v>
      </c>
      <c r="B22" s="91"/>
      <c r="C22" s="92" t="s">
        <v>543</v>
      </c>
      <c r="D22" s="92"/>
      <c r="E22" s="92" t="s">
        <v>226</v>
      </c>
      <c r="F22" s="92" t="s">
        <v>544</v>
      </c>
      <c r="G22" s="62">
        <v>4.25</v>
      </c>
      <c r="H22" s="62"/>
      <c r="I22" s="62"/>
      <c r="J22" s="22" t="s">
        <v>264</v>
      </c>
      <c r="K22" s="62">
        <v>1</v>
      </c>
      <c r="L22" s="41">
        <f>VLOOKUP(K22,Reinigungstage!A10:G31,7,FALSE)</f>
        <v>38.79</v>
      </c>
      <c r="M22" s="41">
        <f t="shared" ref="M22:M27" si="0">ROUND(IF(L22=0,0,L22*G22),2)</f>
        <v>164.86</v>
      </c>
      <c r="N22" s="93"/>
      <c r="O22" s="41"/>
      <c r="P22" s="41">
        <f t="shared" ref="P22:P27" si="1">ROUND(IF(N22=0,0,M22/N22),2)</f>
        <v>0</v>
      </c>
      <c r="Q22" s="41">
        <f t="shared" ref="Q22:Q27" si="2">IF(M22=0,0,IF(O22="",0,ROUND(P22*O22,2)))</f>
        <v>0</v>
      </c>
      <c r="R22" s="41">
        <f t="shared" ref="R22:R27" si="3">ROUND(IF(P22=0,0,P22/L22),2)</f>
        <v>0</v>
      </c>
      <c r="S22" s="41">
        <f t="shared" ref="S22:S27" si="4">ROUND(IF(Q22=0,0,Q22/L22),2)</f>
        <v>0</v>
      </c>
      <c r="T22" s="4" t="str">
        <f t="shared" ref="T22:T27" si="5">IF(M22=0,"",IF(N22=0,"Leistungswert eintragen",IF(O22=0,"SVS prüfen","")))</f>
        <v>Leistungswert eintragen</v>
      </c>
      <c r="U22" s="4">
        <f t="shared" ref="U22:U27" si="6">VLOOKUP(J22,$U$4:$V$8,2,FALSE)</f>
        <v>0</v>
      </c>
    </row>
    <row r="23" spans="1:21" ht="15" customHeight="1" x14ac:dyDescent="0.2">
      <c r="A23" s="22">
        <v>2</v>
      </c>
      <c r="B23" s="91"/>
      <c r="C23" s="92" t="s">
        <v>543</v>
      </c>
      <c r="D23" s="92"/>
      <c r="E23" s="92" t="s">
        <v>545</v>
      </c>
      <c r="F23" s="92" t="s">
        <v>224</v>
      </c>
      <c r="G23" s="62">
        <v>2.66</v>
      </c>
      <c r="H23" s="62"/>
      <c r="I23" s="62"/>
      <c r="J23" s="22" t="s">
        <v>267</v>
      </c>
      <c r="K23" s="62">
        <v>5</v>
      </c>
      <c r="L23" s="41">
        <f>VLOOKUP(K23,Reinigungstage!A10:G31,7,FALSE)</f>
        <v>186.75</v>
      </c>
      <c r="M23" s="41">
        <f t="shared" si="0"/>
        <v>496.76</v>
      </c>
      <c r="N23" s="93"/>
      <c r="O23" s="41"/>
      <c r="P23" s="41">
        <f t="shared" si="1"/>
        <v>0</v>
      </c>
      <c r="Q23" s="41">
        <f t="shared" si="2"/>
        <v>0</v>
      </c>
      <c r="R23" s="41">
        <f t="shared" si="3"/>
        <v>0</v>
      </c>
      <c r="S23" s="41">
        <f t="shared" si="4"/>
        <v>0</v>
      </c>
      <c r="T23" s="4" t="str">
        <f t="shared" si="5"/>
        <v>Leistungswert eintragen</v>
      </c>
      <c r="U23" s="4">
        <f t="shared" si="6"/>
        <v>0</v>
      </c>
    </row>
    <row r="24" spans="1:21" ht="15" customHeight="1" x14ac:dyDescent="0.2">
      <c r="A24" s="22">
        <v>3</v>
      </c>
      <c r="B24" s="91"/>
      <c r="C24" s="92" t="s">
        <v>543</v>
      </c>
      <c r="D24" s="92"/>
      <c r="E24" s="92" t="s">
        <v>431</v>
      </c>
      <c r="F24" s="92" t="s">
        <v>544</v>
      </c>
      <c r="G24" s="62">
        <v>7.62</v>
      </c>
      <c r="H24" s="62"/>
      <c r="I24" s="62"/>
      <c r="J24" s="22" t="s">
        <v>269</v>
      </c>
      <c r="K24" s="62">
        <v>1</v>
      </c>
      <c r="L24" s="41">
        <f>VLOOKUP(K24,Reinigungstage!A10:G31,7,FALSE)</f>
        <v>38.79</v>
      </c>
      <c r="M24" s="41">
        <f t="shared" si="0"/>
        <v>295.58</v>
      </c>
      <c r="N24" s="93"/>
      <c r="O24" s="41"/>
      <c r="P24" s="41">
        <f t="shared" si="1"/>
        <v>0</v>
      </c>
      <c r="Q24" s="41">
        <f t="shared" si="2"/>
        <v>0</v>
      </c>
      <c r="R24" s="41">
        <f t="shared" si="3"/>
        <v>0</v>
      </c>
      <c r="S24" s="41">
        <f t="shared" si="4"/>
        <v>0</v>
      </c>
      <c r="T24" s="4" t="str">
        <f t="shared" si="5"/>
        <v>Leistungswert eintragen</v>
      </c>
      <c r="U24" s="4">
        <f t="shared" si="6"/>
        <v>0</v>
      </c>
    </row>
    <row r="25" spans="1:21" ht="15" customHeight="1" x14ac:dyDescent="0.2">
      <c r="A25" s="22">
        <v>4</v>
      </c>
      <c r="B25" s="91"/>
      <c r="C25" s="92" t="s">
        <v>543</v>
      </c>
      <c r="D25" s="92"/>
      <c r="E25" s="92" t="s">
        <v>493</v>
      </c>
      <c r="F25" s="92" t="s">
        <v>544</v>
      </c>
      <c r="G25" s="62">
        <v>25.85</v>
      </c>
      <c r="H25" s="62"/>
      <c r="I25" s="62"/>
      <c r="J25" s="22" t="s">
        <v>272</v>
      </c>
      <c r="K25" s="62">
        <v>1</v>
      </c>
      <c r="L25" s="41">
        <f>VLOOKUP(K25,Reinigungstage!A10:G31,7,FALSE)</f>
        <v>38.79</v>
      </c>
      <c r="M25" s="41">
        <f t="shared" si="0"/>
        <v>1002.72</v>
      </c>
      <c r="N25" s="93"/>
      <c r="O25" s="41"/>
      <c r="P25" s="41">
        <f t="shared" si="1"/>
        <v>0</v>
      </c>
      <c r="Q25" s="41">
        <f t="shared" si="2"/>
        <v>0</v>
      </c>
      <c r="R25" s="41">
        <f t="shared" si="3"/>
        <v>0</v>
      </c>
      <c r="S25" s="41">
        <f t="shared" si="4"/>
        <v>0</v>
      </c>
      <c r="T25" s="4" t="str">
        <f t="shared" si="5"/>
        <v>Leistungswert eintragen</v>
      </c>
      <c r="U25" s="4">
        <f t="shared" si="6"/>
        <v>0</v>
      </c>
    </row>
    <row r="26" spans="1:21" ht="15" customHeight="1" x14ac:dyDescent="0.2">
      <c r="A26" s="22">
        <v>5</v>
      </c>
      <c r="B26" s="91"/>
      <c r="C26" s="92" t="s">
        <v>271</v>
      </c>
      <c r="D26" s="92"/>
      <c r="E26" s="92" t="s">
        <v>546</v>
      </c>
      <c r="F26" s="92" t="s">
        <v>547</v>
      </c>
      <c r="G26" s="62">
        <v>11.17</v>
      </c>
      <c r="H26" s="62"/>
      <c r="I26" s="62"/>
      <c r="J26" s="22" t="s">
        <v>270</v>
      </c>
      <c r="K26" s="62">
        <v>1</v>
      </c>
      <c r="L26" s="41">
        <f>VLOOKUP(K26,Reinigungstage!A10:G31,7,FALSE)</f>
        <v>38.79</v>
      </c>
      <c r="M26" s="41">
        <f t="shared" si="0"/>
        <v>433.28</v>
      </c>
      <c r="N26" s="93"/>
      <c r="O26" s="41"/>
      <c r="P26" s="41">
        <f t="shared" si="1"/>
        <v>0</v>
      </c>
      <c r="Q26" s="41">
        <f t="shared" si="2"/>
        <v>0</v>
      </c>
      <c r="R26" s="41">
        <f t="shared" si="3"/>
        <v>0</v>
      </c>
      <c r="S26" s="41">
        <f t="shared" si="4"/>
        <v>0</v>
      </c>
      <c r="T26" s="4" t="str">
        <f t="shared" si="5"/>
        <v>Leistungswert eintragen</v>
      </c>
      <c r="U26" s="4">
        <f t="shared" si="6"/>
        <v>0</v>
      </c>
    </row>
    <row r="27" spans="1:21" ht="15" customHeight="1" x14ac:dyDescent="0.2">
      <c r="A27" s="22">
        <v>6</v>
      </c>
      <c r="B27" s="91"/>
      <c r="C27" s="92"/>
      <c r="D27" s="92"/>
      <c r="E27" s="92" t="s">
        <v>548</v>
      </c>
      <c r="F27" s="92" t="s">
        <v>549</v>
      </c>
      <c r="G27" s="62">
        <v>1.04</v>
      </c>
      <c r="H27" s="62"/>
      <c r="I27" s="62"/>
      <c r="J27" s="22" t="s">
        <v>264</v>
      </c>
      <c r="K27" s="62">
        <v>2</v>
      </c>
      <c r="L27" s="41">
        <f>VLOOKUP(K27,Reinigungstage!A10:G31,7,FALSE)</f>
        <v>77.59</v>
      </c>
      <c r="M27" s="41">
        <f t="shared" si="0"/>
        <v>80.69</v>
      </c>
      <c r="N27" s="93"/>
      <c r="O27" s="41"/>
      <c r="P27" s="41">
        <f t="shared" si="1"/>
        <v>0</v>
      </c>
      <c r="Q27" s="41">
        <f t="shared" si="2"/>
        <v>0</v>
      </c>
      <c r="R27" s="41">
        <f t="shared" si="3"/>
        <v>0</v>
      </c>
      <c r="S27" s="41">
        <f t="shared" si="4"/>
        <v>0</v>
      </c>
      <c r="T27" s="4" t="str">
        <f t="shared" si="5"/>
        <v>Leistungswert eintragen</v>
      </c>
      <c r="U27" s="4">
        <f t="shared" si="6"/>
        <v>0</v>
      </c>
    </row>
  </sheetData>
  <sortState xmlns:xlrd2="http://schemas.microsoft.com/office/spreadsheetml/2017/richdata2" ref="U4:U8">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27">
    <cfRule type="containsText" dxfId="31" priority="1" stopIfTrue="1" operator="containsText" text="SVS prüfen">
      <formula>NOT(ISERROR(SEARCH("SVS prüfen",T22)))</formula>
    </cfRule>
    <cfRule type="containsText" dxfId="30" priority="2" stopIfTrue="1" operator="containsText" text="Leistungswert eintragen">
      <formula>NOT(ISERROR(SEARCH("Leistungswert eintragen",T22)))</formula>
    </cfRule>
  </conditionalFormatting>
  <hyperlinks>
    <hyperlink ref="M1" location="Inhaltsverzeichnis!A1" display="Zurück zum Inhaltsverzeichnis" xr:uid="{00000000-0004-0000-0E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PvH soz Gruppe&amp;LAmt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4209"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94210"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94211"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94212"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X27"/>
  <sheetViews>
    <sheetView showGridLines="0" zoomScaleNormal="100" workbookViewId="0">
      <pane ySplit="21" topLeftCell="A22" activePane="bottomLeft" state="frozen"/>
      <selection pane="bottomLeft" activeCell="S35" sqref="S35"/>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4.140625" style="4"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1.42578125" style="4" customWidth="1"/>
    <col min="14" max="14" width="9.42578125" style="4" customWidth="1"/>
    <col min="15" max="15" width="8.42578125" style="4" customWidth="1"/>
    <col min="16" max="17" width="11.42578125" style="4" customWidth="1"/>
    <col min="18" max="18" width="10.5703125" style="4" customWidth="1"/>
    <col min="19" max="19" width="25.5703125" style="4" customWidth="1"/>
    <col min="20" max="16384" width="6.42578125" style="4" hidden="1"/>
  </cols>
  <sheetData>
    <row r="1" spans="1:22" ht="15" customHeight="1" x14ac:dyDescent="0.2">
      <c r="M1" s="6" t="s">
        <v>100</v>
      </c>
    </row>
    <row r="2" spans="1:22" ht="20.45" customHeight="1" x14ac:dyDescent="0.2">
      <c r="A2" s="174" t="s">
        <v>158</v>
      </c>
      <c r="B2" s="175"/>
      <c r="C2" s="175"/>
      <c r="D2" s="175"/>
      <c r="E2" s="176"/>
      <c r="G2" s="177" t="s">
        <v>171</v>
      </c>
      <c r="H2" s="177" t="s">
        <v>163</v>
      </c>
      <c r="I2" s="177" t="s">
        <v>164</v>
      </c>
      <c r="J2" s="177" t="s">
        <v>183</v>
      </c>
      <c r="M2" s="80"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2" ht="24" customHeight="1" x14ac:dyDescent="0.2">
      <c r="A3" s="81" t="s">
        <v>166</v>
      </c>
      <c r="B3" s="82"/>
      <c r="C3" s="82"/>
      <c r="D3" s="82"/>
      <c r="E3" s="83"/>
      <c r="G3" s="178"/>
      <c r="H3" s="178"/>
      <c r="I3" s="178"/>
      <c r="J3" s="178"/>
      <c r="M3" s="80" t="b">
        <v>0</v>
      </c>
      <c r="N3" s="150"/>
      <c r="O3" s="150"/>
      <c r="P3" s="150"/>
      <c r="Q3" s="150"/>
    </row>
    <row r="4" spans="1:22" ht="18.600000000000001" customHeight="1" x14ac:dyDescent="0.2">
      <c r="A4" s="172" t="s">
        <v>91</v>
      </c>
      <c r="B4" s="182"/>
      <c r="C4" s="183"/>
      <c r="D4" s="183"/>
      <c r="E4" s="184"/>
      <c r="G4" s="22" t="s">
        <v>272</v>
      </c>
      <c r="H4" s="84"/>
      <c r="I4" s="85">
        <f ca="1">SUMIF('Kal Grund PvH soz Gruppe'!J22:M27,$G$4,'Kal Grund PvH soz Gruppe'!M22:M27)</f>
        <v>25.85</v>
      </c>
      <c r="J4" s="60">
        <f>COUNTIFS('Kal Grund PvH soz Gruppe'!J22:M27,$G$4)</f>
        <v>1</v>
      </c>
      <c r="M4" s="80" t="b">
        <v>0</v>
      </c>
      <c r="N4" s="150"/>
      <c r="O4" s="150"/>
      <c r="P4" s="150"/>
      <c r="Q4" s="150"/>
      <c r="U4" s="22" t="s">
        <v>272</v>
      </c>
      <c r="V4" s="4">
        <v>15</v>
      </c>
    </row>
    <row r="5" spans="1:22" ht="15" customHeight="1" x14ac:dyDescent="0.2">
      <c r="A5" s="173"/>
      <c r="B5" s="185"/>
      <c r="C5" s="186"/>
      <c r="D5" s="186"/>
      <c r="E5" s="187"/>
      <c r="G5" s="22" t="s">
        <v>267</v>
      </c>
      <c r="H5" s="84"/>
      <c r="I5" s="85">
        <f ca="1">SUMIF('Kal Grund PvH soz Gruppe'!J22:M27,$G$5,'Kal Grund PvH soz Gruppe'!M22:M27)</f>
        <v>2.66</v>
      </c>
      <c r="J5" s="60">
        <f>COUNTIFS('Kal Grund PvH soz Gruppe'!J22:M27,$G$5)</f>
        <v>1</v>
      </c>
      <c r="M5" s="80" t="b">
        <v>0</v>
      </c>
      <c r="N5" s="150"/>
      <c r="O5" s="150"/>
      <c r="P5" s="150"/>
      <c r="Q5" s="150"/>
      <c r="U5" s="22" t="s">
        <v>267</v>
      </c>
      <c r="V5" s="4">
        <v>7</v>
      </c>
    </row>
    <row r="6" spans="1:22" ht="15" customHeight="1" x14ac:dyDescent="0.2">
      <c r="A6" s="142" t="s">
        <v>181</v>
      </c>
      <c r="B6" s="197" t="s">
        <v>586</v>
      </c>
      <c r="C6" s="198"/>
      <c r="D6" s="198"/>
      <c r="E6" s="199"/>
      <c r="G6" s="22" t="s">
        <v>270</v>
      </c>
      <c r="H6" s="84"/>
      <c r="I6" s="85">
        <f ca="1">SUMIF('Kal Grund PvH soz Gruppe'!J22:M27,$G$6,'Kal Grund PvH soz Gruppe'!M22:M27)</f>
        <v>11.17</v>
      </c>
      <c r="J6" s="60">
        <f>COUNTIFS('Kal Grund PvH soz Gruppe'!J22:M27,$G$6)</f>
        <v>1</v>
      </c>
      <c r="U6" s="22" t="s">
        <v>270</v>
      </c>
      <c r="V6" s="4">
        <v>14</v>
      </c>
    </row>
    <row r="7" spans="1:22" ht="15" customHeight="1" x14ac:dyDescent="0.2">
      <c r="A7" s="87" t="s">
        <v>179</v>
      </c>
      <c r="B7" s="191" t="s">
        <v>205</v>
      </c>
      <c r="C7" s="192"/>
      <c r="D7" s="192"/>
      <c r="E7" s="193"/>
      <c r="G7" s="22" t="s">
        <v>264</v>
      </c>
      <c r="H7" s="84"/>
      <c r="I7" s="85">
        <f ca="1">SUMIF('Kal Grund PvH soz Gruppe'!J22:M27,$G$7,'Kal Grund PvH soz Gruppe'!M22:M27)</f>
        <v>5.29</v>
      </c>
      <c r="J7" s="60">
        <f>COUNTIFS('Kal Grund PvH soz Gruppe'!J22:M27,$G$7)</f>
        <v>2</v>
      </c>
      <c r="U7" s="22" t="s">
        <v>264</v>
      </c>
      <c r="V7" s="4">
        <v>24</v>
      </c>
    </row>
    <row r="8" spans="1:22" ht="15" customHeight="1" x14ac:dyDescent="0.2">
      <c r="A8" s="87" t="s">
        <v>180</v>
      </c>
      <c r="B8" s="194" t="s">
        <v>217</v>
      </c>
      <c r="C8" s="192"/>
      <c r="D8" s="192"/>
      <c r="E8" s="193"/>
      <c r="G8" s="22" t="s">
        <v>269</v>
      </c>
      <c r="H8" s="84"/>
      <c r="I8" s="85">
        <f ca="1">SUMIF('Kal Grund PvH soz Gruppe'!J22:M27,$G$8,'Kal Grund PvH soz Gruppe'!M22:M27)</f>
        <v>7.62</v>
      </c>
      <c r="J8" s="60">
        <f>COUNTIFS('Kal Grund PvH soz Gruppe'!J22:M27,$G$8)</f>
        <v>1</v>
      </c>
      <c r="L8" s="94" t="str">
        <f>IF(N14&gt;0,"Ihre Eintragungen der Leistungswerte liegen weit über den Erfahrungswerten aus der Preisschätzung.","")</f>
        <v/>
      </c>
      <c r="U8" s="22" t="s">
        <v>269</v>
      </c>
      <c r="V8" s="4">
        <v>16.5</v>
      </c>
    </row>
    <row r="9" spans="1:22" ht="15" customHeight="1" x14ac:dyDescent="0.2">
      <c r="A9" s="86" t="s">
        <v>178</v>
      </c>
      <c r="B9" s="195" t="s">
        <v>216</v>
      </c>
      <c r="C9" s="192"/>
      <c r="D9" s="192"/>
      <c r="E9" s="193"/>
      <c r="L9" s="94" t="str">
        <f>IF(N14&gt;0,"Bitte prüfen Sie diese.","")</f>
        <v/>
      </c>
    </row>
    <row r="10" spans="1:22" ht="15" customHeight="1" x14ac:dyDescent="0.2">
      <c r="A10" s="87" t="s">
        <v>160</v>
      </c>
      <c r="B10" s="194" t="s">
        <v>207</v>
      </c>
      <c r="C10" s="192"/>
      <c r="D10" s="192"/>
      <c r="E10" s="193"/>
      <c r="L10" s="94" t="str">
        <f>IF(N14&gt;0,"Beachten Sie, dass Sie frei in der Kalkulation dieser Leistungswerte sind und wir durch den Hinweis","")</f>
        <v/>
      </c>
    </row>
    <row r="11" spans="1:22" ht="15" customHeight="1" x14ac:dyDescent="0.2">
      <c r="A11" s="87" t="s">
        <v>161</v>
      </c>
      <c r="B11" s="196" t="s">
        <v>208</v>
      </c>
      <c r="C11" s="192"/>
      <c r="D11" s="192"/>
      <c r="E11" s="193"/>
      <c r="L11" s="94" t="str">
        <f>IF(N14&gt;0,"lediglich Fehleingaben vermeiden wollen.","")</f>
        <v/>
      </c>
    </row>
    <row r="12" spans="1:22" ht="15" customHeight="1" x14ac:dyDescent="0.2">
      <c r="A12" s="87" t="s">
        <v>162</v>
      </c>
      <c r="B12" s="194" t="s">
        <v>209</v>
      </c>
      <c r="C12" s="192"/>
      <c r="D12" s="192"/>
      <c r="E12" s="193"/>
    </row>
    <row r="13" spans="1:22"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2" ht="15" customHeight="1" x14ac:dyDescent="0.2">
      <c r="N14" s="98">
        <f>COUNTIF(X22:X$27,1)</f>
        <v>0</v>
      </c>
      <c r="O14" s="4" t="str">
        <f>IF(N14&gt;0,"Wert(e) prüfen.","")</f>
        <v/>
      </c>
      <c r="S14" s="19">
        <f>IF(COUNTA($S$22:$S$27)-COUNTBLANK($S$22:$S$27)=0,"",COUNTA($S$22:$S$27)-COUNTBLANK($S$22:$S$27))</f>
        <v>6</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2" t="s">
        <v>92</v>
      </c>
      <c r="B20" s="2" t="s">
        <v>97</v>
      </c>
      <c r="C20" s="2" t="s">
        <v>93</v>
      </c>
      <c r="D20" s="2" t="s">
        <v>94</v>
      </c>
      <c r="E20" s="2" t="s">
        <v>98</v>
      </c>
      <c r="F20" s="2" t="s">
        <v>95</v>
      </c>
      <c r="G20" s="2" t="s">
        <v>115</v>
      </c>
      <c r="H20" s="2" t="s">
        <v>106</v>
      </c>
      <c r="I20" s="2" t="s">
        <v>107</v>
      </c>
      <c r="J20" s="2" t="s">
        <v>99</v>
      </c>
      <c r="K20" s="2" t="s">
        <v>104</v>
      </c>
      <c r="L20" s="2" t="s">
        <v>108</v>
      </c>
      <c r="M20" s="2" t="s">
        <v>109</v>
      </c>
      <c r="N20" s="2" t="s">
        <v>105</v>
      </c>
      <c r="O20" s="2" t="s">
        <v>110</v>
      </c>
      <c r="P20" s="2" t="s">
        <v>111</v>
      </c>
      <c r="Q20" s="2" t="s">
        <v>112</v>
      </c>
      <c r="R20" s="2" t="s">
        <v>134</v>
      </c>
    </row>
    <row r="21" spans="1:24" ht="29.1" customHeight="1" x14ac:dyDescent="0.2">
      <c r="A21" s="88" t="s">
        <v>119</v>
      </c>
      <c r="B21" s="13"/>
      <c r="C21" s="13"/>
      <c r="D21" s="13"/>
      <c r="E21" s="13"/>
      <c r="F21" s="13"/>
      <c r="G21" s="89">
        <f>SUM($G$22:$G$27)</f>
        <v>52.59</v>
      </c>
      <c r="H21" s="89">
        <f>SUM($H$22:$H$27)</f>
        <v>0</v>
      </c>
      <c r="I21" s="89">
        <f>SUM($I$22:$I$27)</f>
        <v>0</v>
      </c>
      <c r="J21" s="41"/>
      <c r="K21" s="41"/>
      <c r="L21" s="90">
        <f>MAX(L22:L27)</f>
        <v>1</v>
      </c>
      <c r="M21" s="89">
        <f>SUM($M$22:$M$27)</f>
        <v>52.59</v>
      </c>
      <c r="N21" s="41"/>
      <c r="O21" s="41"/>
      <c r="P21" s="89">
        <f>SUM($P$22:$P$27)</f>
        <v>0</v>
      </c>
      <c r="Q21" s="89">
        <f>SUM($Q$22:$Q$27)</f>
        <v>0</v>
      </c>
      <c r="R21" s="89">
        <f>ROUND(IF(Q21=0,0,Q21/L21),2)</f>
        <v>0</v>
      </c>
    </row>
    <row r="22" spans="1:24" ht="15" customHeight="1" x14ac:dyDescent="0.2">
      <c r="A22" s="22">
        <v>1</v>
      </c>
      <c r="B22" s="91"/>
      <c r="C22" s="92" t="s">
        <v>543</v>
      </c>
      <c r="D22" s="92"/>
      <c r="E22" s="92" t="s">
        <v>226</v>
      </c>
      <c r="F22" s="92" t="s">
        <v>544</v>
      </c>
      <c r="G22" s="62">
        <v>4.25</v>
      </c>
      <c r="H22" s="62"/>
      <c r="I22" s="62"/>
      <c r="J22" s="22" t="s">
        <v>264</v>
      </c>
      <c r="K22" s="22" t="s">
        <v>144</v>
      </c>
      <c r="L22" s="41">
        <f>VLOOKUP(K22,Reinigungstage!A10:N31,14,FALSE)</f>
        <v>1</v>
      </c>
      <c r="M22" s="41">
        <f t="shared" ref="M22:M27" si="0">ROUND(IF(L22=0,0,L22*G22),2)</f>
        <v>4.25</v>
      </c>
      <c r="N22" s="93"/>
      <c r="O22" s="41"/>
      <c r="P22" s="41">
        <f t="shared" ref="P22:P27" si="1">ROUND(IF(N22=0,0,M22/N22),2)</f>
        <v>0</v>
      </c>
      <c r="Q22" s="41">
        <f t="shared" ref="Q22:Q27" si="2">ROUND(IF(P22=0,0,P22*O22),2)</f>
        <v>0</v>
      </c>
      <c r="R22" s="41">
        <f t="shared" ref="R22:R27" si="3">ROUND(IF(P22=0,0,Q22/L22),2)</f>
        <v>0</v>
      </c>
      <c r="S22" s="4" t="str">
        <f t="shared" ref="S22:S27" si="4">IF(M22=0,"",IF(N22=0,"Leistungswert eintragen",IF(O22=0,"SVS prüfen","")))</f>
        <v>Leistungswert eintragen</v>
      </c>
      <c r="U22" s="4">
        <f t="shared" ref="U22:U27" si="5">VLOOKUP(J22,$U$4:$V$8,2,FALSE)</f>
        <v>24</v>
      </c>
      <c r="V22" s="4">
        <f t="shared" ref="V22:V27" si="6">U22*30%</f>
        <v>7.1999999999999993</v>
      </c>
      <c r="W22" s="4">
        <f t="shared" ref="W22:W27" si="7">SUM(U22:V22)</f>
        <v>31.2</v>
      </c>
      <c r="X22" s="4" t="str">
        <f t="shared" ref="X22:X27" si="8">IF(N22=0,"",IF(W22&lt;N22,1,IF(W22&gt;=N22,0,"")))</f>
        <v/>
      </c>
    </row>
    <row r="23" spans="1:24" ht="15" customHeight="1" x14ac:dyDescent="0.2">
      <c r="A23" s="22">
        <v>2</v>
      </c>
      <c r="B23" s="91"/>
      <c r="C23" s="92" t="s">
        <v>543</v>
      </c>
      <c r="D23" s="92"/>
      <c r="E23" s="92" t="s">
        <v>545</v>
      </c>
      <c r="F23" s="92" t="s">
        <v>224</v>
      </c>
      <c r="G23" s="62">
        <v>2.66</v>
      </c>
      <c r="H23" s="62"/>
      <c r="I23" s="62"/>
      <c r="J23" s="22" t="s">
        <v>267</v>
      </c>
      <c r="K23" s="22" t="s">
        <v>144</v>
      </c>
      <c r="L23" s="41">
        <f>VLOOKUP(K23,Reinigungstage!A10:N31,14,FALSE)</f>
        <v>1</v>
      </c>
      <c r="M23" s="41">
        <f t="shared" si="0"/>
        <v>2.66</v>
      </c>
      <c r="N23" s="93"/>
      <c r="O23" s="41"/>
      <c r="P23" s="41">
        <f t="shared" si="1"/>
        <v>0</v>
      </c>
      <c r="Q23" s="41">
        <f t="shared" si="2"/>
        <v>0</v>
      </c>
      <c r="R23" s="41">
        <f t="shared" si="3"/>
        <v>0</v>
      </c>
      <c r="S23" s="4" t="str">
        <f t="shared" si="4"/>
        <v>Leistungswert eintragen</v>
      </c>
      <c r="U23" s="4">
        <f t="shared" si="5"/>
        <v>7</v>
      </c>
      <c r="V23" s="4">
        <f t="shared" si="6"/>
        <v>2.1</v>
      </c>
      <c r="W23" s="4">
        <f t="shared" si="7"/>
        <v>9.1</v>
      </c>
      <c r="X23" s="4" t="str">
        <f t="shared" si="8"/>
        <v/>
      </c>
    </row>
    <row r="24" spans="1:24" ht="15" customHeight="1" x14ac:dyDescent="0.2">
      <c r="A24" s="22">
        <v>3</v>
      </c>
      <c r="B24" s="91"/>
      <c r="C24" s="92" t="s">
        <v>543</v>
      </c>
      <c r="D24" s="92"/>
      <c r="E24" s="92" t="s">
        <v>431</v>
      </c>
      <c r="F24" s="92" t="s">
        <v>544</v>
      </c>
      <c r="G24" s="62">
        <v>7.62</v>
      </c>
      <c r="H24" s="62"/>
      <c r="I24" s="62"/>
      <c r="J24" s="22" t="s">
        <v>269</v>
      </c>
      <c r="K24" s="22" t="s">
        <v>144</v>
      </c>
      <c r="L24" s="41">
        <f>VLOOKUP(K24,Reinigungstage!A10:N31,14,FALSE)</f>
        <v>1</v>
      </c>
      <c r="M24" s="41">
        <f t="shared" si="0"/>
        <v>7.62</v>
      </c>
      <c r="N24" s="93"/>
      <c r="O24" s="41"/>
      <c r="P24" s="41">
        <f t="shared" si="1"/>
        <v>0</v>
      </c>
      <c r="Q24" s="41">
        <f t="shared" si="2"/>
        <v>0</v>
      </c>
      <c r="R24" s="41">
        <f t="shared" si="3"/>
        <v>0</v>
      </c>
      <c r="S24" s="4" t="str">
        <f t="shared" si="4"/>
        <v>Leistungswert eintragen</v>
      </c>
      <c r="U24" s="4">
        <f t="shared" si="5"/>
        <v>16.5</v>
      </c>
      <c r="V24" s="4">
        <f t="shared" si="6"/>
        <v>4.95</v>
      </c>
      <c r="W24" s="4">
        <f t="shared" si="7"/>
        <v>21.45</v>
      </c>
      <c r="X24" s="4" t="str">
        <f t="shared" si="8"/>
        <v/>
      </c>
    </row>
    <row r="25" spans="1:24" ht="15" customHeight="1" x14ac:dyDescent="0.2">
      <c r="A25" s="22">
        <v>4</v>
      </c>
      <c r="B25" s="91"/>
      <c r="C25" s="92" t="s">
        <v>543</v>
      </c>
      <c r="D25" s="92"/>
      <c r="E25" s="92" t="s">
        <v>493</v>
      </c>
      <c r="F25" s="92" t="s">
        <v>544</v>
      </c>
      <c r="G25" s="62">
        <v>25.85</v>
      </c>
      <c r="H25" s="62"/>
      <c r="I25" s="62"/>
      <c r="J25" s="22" t="s">
        <v>272</v>
      </c>
      <c r="K25" s="22" t="s">
        <v>144</v>
      </c>
      <c r="L25" s="41">
        <f>VLOOKUP(K25,Reinigungstage!A10:N31,14,FALSE)</f>
        <v>1</v>
      </c>
      <c r="M25" s="41">
        <f t="shared" si="0"/>
        <v>25.85</v>
      </c>
      <c r="N25" s="93"/>
      <c r="O25" s="41"/>
      <c r="P25" s="41">
        <f t="shared" si="1"/>
        <v>0</v>
      </c>
      <c r="Q25" s="41">
        <f t="shared" si="2"/>
        <v>0</v>
      </c>
      <c r="R25" s="41">
        <f t="shared" si="3"/>
        <v>0</v>
      </c>
      <c r="S25" s="4" t="str">
        <f t="shared" si="4"/>
        <v>Leistungswert eintragen</v>
      </c>
      <c r="U25" s="4">
        <f t="shared" si="5"/>
        <v>15</v>
      </c>
      <c r="V25" s="4">
        <f t="shared" si="6"/>
        <v>4.5</v>
      </c>
      <c r="W25" s="4">
        <f t="shared" si="7"/>
        <v>19.5</v>
      </c>
      <c r="X25" s="4" t="str">
        <f t="shared" si="8"/>
        <v/>
      </c>
    </row>
    <row r="26" spans="1:24" ht="15" customHeight="1" x14ac:dyDescent="0.2">
      <c r="A26" s="22">
        <v>5</v>
      </c>
      <c r="B26" s="91"/>
      <c r="C26" s="92" t="s">
        <v>271</v>
      </c>
      <c r="D26" s="92"/>
      <c r="E26" s="92" t="s">
        <v>546</v>
      </c>
      <c r="F26" s="92" t="s">
        <v>547</v>
      </c>
      <c r="G26" s="62">
        <v>11.17</v>
      </c>
      <c r="H26" s="62"/>
      <c r="I26" s="62"/>
      <c r="J26" s="22" t="s">
        <v>270</v>
      </c>
      <c r="K26" s="22" t="s">
        <v>144</v>
      </c>
      <c r="L26" s="41">
        <f>VLOOKUP(K26,Reinigungstage!A10:N31,14,FALSE)</f>
        <v>1</v>
      </c>
      <c r="M26" s="41">
        <f t="shared" si="0"/>
        <v>11.17</v>
      </c>
      <c r="N26" s="93"/>
      <c r="O26" s="41"/>
      <c r="P26" s="41">
        <f t="shared" si="1"/>
        <v>0</v>
      </c>
      <c r="Q26" s="41">
        <f t="shared" si="2"/>
        <v>0</v>
      </c>
      <c r="R26" s="41">
        <f t="shared" si="3"/>
        <v>0</v>
      </c>
      <c r="S26" s="4" t="str">
        <f t="shared" si="4"/>
        <v>Leistungswert eintragen</v>
      </c>
      <c r="U26" s="4">
        <f t="shared" si="5"/>
        <v>14</v>
      </c>
      <c r="V26" s="4">
        <f t="shared" si="6"/>
        <v>4.2</v>
      </c>
      <c r="W26" s="4">
        <f t="shared" si="7"/>
        <v>18.2</v>
      </c>
      <c r="X26" s="4" t="str">
        <f t="shared" si="8"/>
        <v/>
      </c>
    </row>
    <row r="27" spans="1:24" ht="15" customHeight="1" x14ac:dyDescent="0.2">
      <c r="A27" s="22">
        <v>6</v>
      </c>
      <c r="B27" s="91"/>
      <c r="C27" s="92"/>
      <c r="D27" s="92"/>
      <c r="E27" s="92" t="s">
        <v>548</v>
      </c>
      <c r="F27" s="92" t="s">
        <v>549</v>
      </c>
      <c r="G27" s="62">
        <v>1.04</v>
      </c>
      <c r="H27" s="62"/>
      <c r="I27" s="62"/>
      <c r="J27" s="22" t="s">
        <v>264</v>
      </c>
      <c r="K27" s="22" t="s">
        <v>144</v>
      </c>
      <c r="L27" s="41">
        <f>VLOOKUP(K27,Reinigungstage!A10:N31,14,FALSE)</f>
        <v>1</v>
      </c>
      <c r="M27" s="41">
        <f t="shared" si="0"/>
        <v>1.04</v>
      </c>
      <c r="N27" s="93"/>
      <c r="O27" s="41"/>
      <c r="P27" s="41">
        <f t="shared" si="1"/>
        <v>0</v>
      </c>
      <c r="Q27" s="41">
        <f t="shared" si="2"/>
        <v>0</v>
      </c>
      <c r="R27" s="41">
        <f t="shared" si="3"/>
        <v>0</v>
      </c>
      <c r="S27" s="4" t="str">
        <f t="shared" si="4"/>
        <v>Leistungswert eintragen</v>
      </c>
      <c r="U27" s="4">
        <f t="shared" si="5"/>
        <v>24</v>
      </c>
      <c r="V27" s="4">
        <f t="shared" si="6"/>
        <v>7.1999999999999993</v>
      </c>
      <c r="W27" s="4">
        <f t="shared" si="7"/>
        <v>31.2</v>
      </c>
      <c r="X27" s="4" t="str">
        <f t="shared" si="8"/>
        <v/>
      </c>
    </row>
  </sheetData>
  <sortState xmlns:xlrd2="http://schemas.microsoft.com/office/spreadsheetml/2017/richdata2" ref="U4:U8">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29"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28" priority="5" operator="containsText" text="Bitte prüfen Sie diese.">
      <formula>NOT(ISERROR(SEARCH("Bitte prüfen Sie diese.",L9)))</formula>
    </cfRule>
  </conditionalFormatting>
  <conditionalFormatting sqref="L10">
    <cfRule type="containsText" dxfId="27"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26" priority="3" operator="containsText" text="lediglich Fehleingaben vermeiden wollen.">
      <formula>NOT(ISERROR(SEARCH("lediglich Fehleingaben vermeiden wollen.",L11)))</formula>
    </cfRule>
  </conditionalFormatting>
  <conditionalFormatting sqref="M11">
    <cfRule type="containsText" dxfId="25"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24" priority="2" stopIfTrue="1">
      <formula>N13=0</formula>
    </cfRule>
  </conditionalFormatting>
  <conditionalFormatting sqref="N14">
    <cfRule type="expression" dxfId="23" priority="1">
      <formula>N14=0</formula>
    </cfRule>
  </conditionalFormatting>
  <conditionalFormatting sqref="O13">
    <cfRule type="containsText" dxfId="22"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21" priority="8" operator="containsText" text="Wert(e) prüfen.">
      <formula>NOT(ISERROR(SEARCH("Wert(e) prüfen.",O14)))</formula>
    </cfRule>
  </conditionalFormatting>
  <conditionalFormatting sqref="S22:S27">
    <cfRule type="containsText" dxfId="20" priority="12" stopIfTrue="1" operator="containsText" text="SVS prüfen">
      <formula>NOT(ISERROR(SEARCH("SVS prüfen",S22)))</formula>
    </cfRule>
    <cfRule type="containsText" dxfId="19" priority="13" stopIfTrue="1" operator="containsText" text="Leistungswert eintragen">
      <formula>NOT(ISERROR(SEARCH("Leistungswert eintragen",S22)))</formula>
    </cfRule>
  </conditionalFormatting>
  <hyperlinks>
    <hyperlink ref="M1" location="Inhaltsverzeichnis!A1" display="Zurück zum Inhaltsverzeichnis" xr:uid="{00000000-0004-0000-0F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PvH soz Gruppe&amp;LAmt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101378"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101379"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101380"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X24"/>
  <sheetViews>
    <sheetView showGridLines="0" zoomScaleNormal="100" workbookViewId="0">
      <pane ySplit="21" topLeftCell="A22" activePane="bottomLeft" state="frozen"/>
      <selection pane="bottomLeft" activeCell="R32" sqref="R32"/>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1.42578125" style="4" customWidth="1"/>
    <col min="14" max="14" width="9.42578125" style="4" customWidth="1"/>
    <col min="15" max="15" width="8.42578125" style="4" customWidth="1"/>
    <col min="16" max="17" width="11.42578125" style="4" customWidth="1"/>
    <col min="18" max="18" width="10.5703125" style="4" customWidth="1"/>
    <col min="19" max="19" width="25.5703125" style="4" customWidth="1"/>
    <col min="20" max="16384" width="6.42578125" style="4" hidden="1"/>
  </cols>
  <sheetData>
    <row r="1" spans="1:22" ht="15" customHeight="1" x14ac:dyDescent="0.2">
      <c r="M1" s="6" t="s">
        <v>100</v>
      </c>
    </row>
    <row r="2" spans="1:22" ht="20.45" customHeight="1" x14ac:dyDescent="0.2">
      <c r="A2" s="174" t="s">
        <v>158</v>
      </c>
      <c r="B2" s="175"/>
      <c r="C2" s="175"/>
      <c r="D2" s="175"/>
      <c r="E2" s="176"/>
      <c r="G2" s="177" t="s">
        <v>171</v>
      </c>
      <c r="H2" s="177" t="s">
        <v>163</v>
      </c>
      <c r="I2" s="177" t="s">
        <v>164</v>
      </c>
      <c r="J2" s="177" t="s">
        <v>183</v>
      </c>
      <c r="M2" s="80"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2" ht="24" customHeight="1" x14ac:dyDescent="0.2">
      <c r="A3" s="81" t="s">
        <v>166</v>
      </c>
      <c r="B3" s="82"/>
      <c r="C3" s="82"/>
      <c r="D3" s="82"/>
      <c r="E3" s="83"/>
      <c r="G3" s="178"/>
      <c r="H3" s="178"/>
      <c r="I3" s="178"/>
      <c r="J3" s="178"/>
      <c r="M3" s="80" t="b">
        <v>0</v>
      </c>
      <c r="N3" s="150"/>
      <c r="O3" s="150"/>
      <c r="P3" s="150"/>
      <c r="Q3" s="150"/>
    </row>
    <row r="4" spans="1:22" ht="18.600000000000001" customHeight="1" x14ac:dyDescent="0.2">
      <c r="A4" s="172" t="s">
        <v>91</v>
      </c>
      <c r="B4" s="200"/>
      <c r="C4" s="201"/>
      <c r="D4" s="201"/>
      <c r="E4" s="202"/>
      <c r="G4" s="22" t="s">
        <v>267</v>
      </c>
      <c r="H4" s="138"/>
      <c r="I4" s="85">
        <f ca="1">SUMIF('Kal Grund PvH WAT'!J22:M24,$G$4,'Kal Grund PvH WAT'!M22:M24)</f>
        <v>2.58</v>
      </c>
      <c r="J4" s="60">
        <f>COUNTIFS('Kal Grund PvH WAT'!J22:M24,$G$4)</f>
        <v>1</v>
      </c>
      <c r="M4" s="80" t="b">
        <v>0</v>
      </c>
      <c r="N4" s="150"/>
      <c r="O4" s="150"/>
      <c r="P4" s="150"/>
      <c r="Q4" s="150"/>
      <c r="U4" s="22" t="s">
        <v>267</v>
      </c>
      <c r="V4" s="4">
        <v>7</v>
      </c>
    </row>
    <row r="5" spans="1:22" ht="15" customHeight="1" x14ac:dyDescent="0.2">
      <c r="A5" s="173"/>
      <c r="B5" s="203"/>
      <c r="C5" s="204"/>
      <c r="D5" s="204"/>
      <c r="E5" s="205"/>
      <c r="G5" s="22" t="s">
        <v>265</v>
      </c>
      <c r="H5" s="138"/>
      <c r="I5" s="85">
        <f ca="1">SUMIF('Kal Grund PvH WAT'!J22:M24,$G$5,'Kal Grund PvH WAT'!M22:M24)</f>
        <v>54.57</v>
      </c>
      <c r="J5" s="60">
        <f>COUNTIFS('Kal Grund PvH WAT'!J22:M24,$G$5)</f>
        <v>1</v>
      </c>
      <c r="M5" s="80" t="b">
        <v>0</v>
      </c>
      <c r="N5" s="150"/>
      <c r="O5" s="150"/>
      <c r="P5" s="150"/>
      <c r="Q5" s="150"/>
      <c r="U5" s="22" t="s">
        <v>268</v>
      </c>
      <c r="V5" s="4">
        <v>20</v>
      </c>
    </row>
    <row r="6" spans="1:22" ht="15" customHeight="1" x14ac:dyDescent="0.2">
      <c r="A6" s="142" t="s">
        <v>181</v>
      </c>
      <c r="B6" s="197" t="s">
        <v>586</v>
      </c>
      <c r="C6" s="198"/>
      <c r="D6" s="198"/>
      <c r="E6" s="199"/>
      <c r="G6" s="22" t="s">
        <v>264</v>
      </c>
      <c r="H6" s="138"/>
      <c r="I6" s="85">
        <f ca="1">SUMIF('Kal Grund PvH WAT'!J22:M24,$G$6,'Kal Grund PvH WAT'!M22:M24)</f>
        <v>5.63</v>
      </c>
      <c r="J6" s="60">
        <f>COUNTIFS('Kal Grund PvH WAT'!J22:M24,$G$6)</f>
        <v>1</v>
      </c>
      <c r="U6" s="22" t="s">
        <v>265</v>
      </c>
      <c r="V6" s="4">
        <v>14</v>
      </c>
    </row>
    <row r="7" spans="1:22" ht="15" customHeight="1" x14ac:dyDescent="0.2">
      <c r="A7" s="87" t="s">
        <v>179</v>
      </c>
      <c r="B7" s="206" t="s">
        <v>205</v>
      </c>
      <c r="C7" s="207"/>
      <c r="D7" s="207"/>
      <c r="E7" s="208"/>
      <c r="U7" s="22" t="s">
        <v>264</v>
      </c>
      <c r="V7" s="4">
        <v>24</v>
      </c>
    </row>
    <row r="8" spans="1:22" ht="15" customHeight="1" x14ac:dyDescent="0.2">
      <c r="A8" s="87" t="s">
        <v>180</v>
      </c>
      <c r="B8" s="209" t="s">
        <v>219</v>
      </c>
      <c r="C8" s="207"/>
      <c r="D8" s="207"/>
      <c r="E8" s="208"/>
      <c r="L8" s="94" t="str">
        <f>IF(N14&gt;0,"Ihre Eintragungen der Leistungswerte liegen weit über den Erfahrungswerten aus der Preisschätzung.","")</f>
        <v/>
      </c>
    </row>
    <row r="9" spans="1:22" ht="15" customHeight="1" x14ac:dyDescent="0.2">
      <c r="A9" s="86" t="s">
        <v>178</v>
      </c>
      <c r="B9" s="210" t="s">
        <v>218</v>
      </c>
      <c r="C9" s="207"/>
      <c r="D9" s="207"/>
      <c r="E9" s="208"/>
      <c r="L9" s="94" t="str">
        <f>IF(N14&gt;0,"Bitte prüfen Sie diese.","")</f>
        <v/>
      </c>
    </row>
    <row r="10" spans="1:22" ht="15" customHeight="1" x14ac:dyDescent="0.2">
      <c r="A10" s="87" t="s">
        <v>160</v>
      </c>
      <c r="B10" s="194" t="s">
        <v>207</v>
      </c>
      <c r="C10" s="192"/>
      <c r="D10" s="192"/>
      <c r="E10" s="193"/>
      <c r="L10" s="94" t="str">
        <f>IF(N14&gt;0,"Beachten Sie, dass Sie frei in der Kalkulation dieser Leistungswerte sind und wir durch den Hinweis","")</f>
        <v/>
      </c>
    </row>
    <row r="11" spans="1:22" ht="15" customHeight="1" x14ac:dyDescent="0.2">
      <c r="A11" s="87" t="s">
        <v>161</v>
      </c>
      <c r="B11" s="196" t="s">
        <v>208</v>
      </c>
      <c r="C11" s="192"/>
      <c r="D11" s="192"/>
      <c r="E11" s="193"/>
      <c r="L11" s="94" t="str">
        <f>IF(N14&gt;0,"lediglich Fehleingaben vermeiden wollen.","")</f>
        <v/>
      </c>
    </row>
    <row r="12" spans="1:22" ht="15" customHeight="1" x14ac:dyDescent="0.2">
      <c r="A12" s="87" t="s">
        <v>162</v>
      </c>
      <c r="B12" s="194" t="s">
        <v>209</v>
      </c>
      <c r="C12" s="192"/>
      <c r="D12" s="192"/>
      <c r="E12" s="193"/>
    </row>
    <row r="13" spans="1:22"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2" ht="15" customHeight="1" x14ac:dyDescent="0.2">
      <c r="N14" s="98">
        <f>COUNTIF(X22:X$24,1)</f>
        <v>0</v>
      </c>
      <c r="O14" s="4" t="str">
        <f>IF(N14&gt;0,"Wert(e) prüfen.","")</f>
        <v/>
      </c>
      <c r="S14" s="19">
        <f>IF(COUNTA($S$22:$S$24)-COUNTBLANK($S$22:$S$24)=0,"",COUNTA($S$22:$S$24)-COUNTBLANK($S$22:$S$24))</f>
        <v>3</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2" t="s">
        <v>92</v>
      </c>
      <c r="B20" s="2" t="s">
        <v>97</v>
      </c>
      <c r="C20" s="2" t="s">
        <v>93</v>
      </c>
      <c r="D20" s="2" t="s">
        <v>94</v>
      </c>
      <c r="E20" s="2" t="s">
        <v>98</v>
      </c>
      <c r="F20" s="2" t="s">
        <v>95</v>
      </c>
      <c r="G20" s="2" t="s">
        <v>115</v>
      </c>
      <c r="H20" s="2" t="s">
        <v>106</v>
      </c>
      <c r="I20" s="2" t="s">
        <v>107</v>
      </c>
      <c r="J20" s="2" t="s">
        <v>99</v>
      </c>
      <c r="K20" s="2" t="s">
        <v>104</v>
      </c>
      <c r="L20" s="2" t="s">
        <v>108</v>
      </c>
      <c r="M20" s="2" t="s">
        <v>109</v>
      </c>
      <c r="N20" s="2" t="s">
        <v>105</v>
      </c>
      <c r="O20" s="2" t="s">
        <v>110</v>
      </c>
      <c r="P20" s="2" t="s">
        <v>111</v>
      </c>
      <c r="Q20" s="2" t="s">
        <v>112</v>
      </c>
      <c r="R20" s="2" t="s">
        <v>134</v>
      </c>
    </row>
    <row r="21" spans="1:24" ht="29.1" customHeight="1" x14ac:dyDescent="0.2">
      <c r="A21" s="88" t="s">
        <v>119</v>
      </c>
      <c r="B21" s="13"/>
      <c r="C21" s="13"/>
      <c r="D21" s="13"/>
      <c r="E21" s="13"/>
      <c r="F21" s="13"/>
      <c r="G21" s="89">
        <f>SUM($G$22:$G$24)</f>
        <v>62.78</v>
      </c>
      <c r="H21" s="89">
        <f>SUM($H$22:$H$24)</f>
        <v>0</v>
      </c>
      <c r="I21" s="89">
        <f>SUM($I$22:$I$24)</f>
        <v>0</v>
      </c>
      <c r="J21" s="41"/>
      <c r="K21" s="41"/>
      <c r="L21" s="90">
        <f>MAX(L22:L24)</f>
        <v>1</v>
      </c>
      <c r="M21" s="89">
        <f>SUM($M$22:$M$24)</f>
        <v>62.78</v>
      </c>
      <c r="N21" s="41"/>
      <c r="O21" s="41"/>
      <c r="P21" s="89">
        <f>SUM($P$22:$P$24)</f>
        <v>0</v>
      </c>
      <c r="Q21" s="89">
        <f>SUM($Q$22:$Q$24)</f>
        <v>0</v>
      </c>
      <c r="R21" s="89">
        <f>ROUND(IF(Q21=0,0,Q21/L21),2)</f>
        <v>0</v>
      </c>
    </row>
    <row r="22" spans="1:24" ht="15" customHeight="1" x14ac:dyDescent="0.2">
      <c r="A22" s="22">
        <v>1</v>
      </c>
      <c r="B22" s="91"/>
      <c r="C22" s="92" t="s">
        <v>271</v>
      </c>
      <c r="D22" s="92"/>
      <c r="E22" s="92" t="s">
        <v>226</v>
      </c>
      <c r="F22" s="92" t="s">
        <v>224</v>
      </c>
      <c r="G22" s="62">
        <v>5.63</v>
      </c>
      <c r="H22" s="62"/>
      <c r="I22" s="62"/>
      <c r="J22" s="22" t="s">
        <v>264</v>
      </c>
      <c r="K22" s="22" t="s">
        <v>144</v>
      </c>
      <c r="L22" s="41">
        <f>VLOOKUP(K22,Reinigungstage!A10:P31,16,FALSE)</f>
        <v>1</v>
      </c>
      <c r="M22" s="41">
        <f>ROUND(IF(L22=0,0,L22*G22),2)</f>
        <v>5.63</v>
      </c>
      <c r="N22" s="93"/>
      <c r="O22" s="41"/>
      <c r="P22" s="41">
        <f>ROUND(IF(N22=0,0,M22/N22),2)</f>
        <v>0</v>
      </c>
      <c r="Q22" s="41">
        <f>ROUND(IF(P22=0,0,P22*O22),2)</f>
        <v>0</v>
      </c>
      <c r="R22" s="41">
        <f>ROUND(IF(P22=0,0,Q22/L22),2)</f>
        <v>0</v>
      </c>
      <c r="S22" s="4" t="str">
        <f>IF(M22=0,"",IF(N22=0,"Leistungswert eintragen",IF(O22=0,"SVS prüfen","")))</f>
        <v>Leistungswert eintragen</v>
      </c>
      <c r="U22" s="4">
        <f>VLOOKUP(J22,$U$4:$V$7,2,FALSE)</f>
        <v>24</v>
      </c>
      <c r="V22" s="4">
        <f>U22*30%</f>
        <v>7.1999999999999993</v>
      </c>
      <c r="W22" s="4">
        <f>SUM(U22:V22)</f>
        <v>31.2</v>
      </c>
      <c r="X22" s="4" t="str">
        <f>IF(N22=0,"",IF(W22&lt;N22,1,IF(W22&gt;=N22,0,"")))</f>
        <v/>
      </c>
    </row>
    <row r="23" spans="1:24" ht="15" customHeight="1" x14ac:dyDescent="0.2">
      <c r="A23" s="22">
        <v>2</v>
      </c>
      <c r="B23" s="91"/>
      <c r="C23" s="92" t="s">
        <v>271</v>
      </c>
      <c r="D23" s="92"/>
      <c r="E23" s="92" t="s">
        <v>550</v>
      </c>
      <c r="F23" s="92" t="s">
        <v>551</v>
      </c>
      <c r="G23" s="62">
        <v>54.57</v>
      </c>
      <c r="H23" s="62"/>
      <c r="I23" s="62"/>
      <c r="J23" s="22" t="s">
        <v>265</v>
      </c>
      <c r="K23" s="22" t="s">
        <v>144</v>
      </c>
      <c r="L23" s="41">
        <f>VLOOKUP(K23,Reinigungstage!A10:P31,16,FALSE)</f>
        <v>1</v>
      </c>
      <c r="M23" s="41">
        <f>ROUND(IF(L23=0,0,L23*G23),2)</f>
        <v>54.57</v>
      </c>
      <c r="N23" s="93"/>
      <c r="O23" s="41"/>
      <c r="P23" s="41">
        <f>ROUND(IF(N23=0,0,M23/N23),2)</f>
        <v>0</v>
      </c>
      <c r="Q23" s="41">
        <f>ROUND(IF(P23=0,0,P23*O23),2)</f>
        <v>0</v>
      </c>
      <c r="R23" s="41">
        <f>ROUND(IF(P23=0,0,Q23/L23),2)</f>
        <v>0</v>
      </c>
      <c r="S23" s="4" t="str">
        <f>IF(M23=0,"",IF(N23=0,"Leistungswert eintragen",IF(O23=0,"SVS prüfen","")))</f>
        <v>Leistungswert eintragen</v>
      </c>
      <c r="U23" s="4">
        <f>VLOOKUP(J23,$U$4:$V$7,2,FALSE)</f>
        <v>14</v>
      </c>
      <c r="V23" s="4">
        <f>U23*30%</f>
        <v>4.2</v>
      </c>
      <c r="W23" s="4">
        <f>SUM(U23:V23)</f>
        <v>18.2</v>
      </c>
      <c r="X23" s="4" t="str">
        <f>IF(N23=0,"",IF(W23&lt;N23,1,IF(W23&gt;=N23,0,"")))</f>
        <v/>
      </c>
    </row>
    <row r="24" spans="1:24" ht="15" customHeight="1" x14ac:dyDescent="0.2">
      <c r="A24" s="22">
        <v>3</v>
      </c>
      <c r="B24" s="91"/>
      <c r="C24" s="92" t="s">
        <v>271</v>
      </c>
      <c r="D24" s="92"/>
      <c r="E24" s="92" t="s">
        <v>494</v>
      </c>
      <c r="F24" s="92" t="s">
        <v>224</v>
      </c>
      <c r="G24" s="62">
        <v>2.58</v>
      </c>
      <c r="H24" s="62"/>
      <c r="I24" s="62"/>
      <c r="J24" s="22" t="s">
        <v>267</v>
      </c>
      <c r="K24" s="22" t="s">
        <v>144</v>
      </c>
      <c r="L24" s="41">
        <f>VLOOKUP(K24,Reinigungstage!A10:P31,16,FALSE)</f>
        <v>1</v>
      </c>
      <c r="M24" s="41">
        <f>ROUND(IF(L24=0,0,L24*G24),2)</f>
        <v>2.58</v>
      </c>
      <c r="N24" s="93"/>
      <c r="O24" s="41"/>
      <c r="P24" s="41">
        <f>ROUND(IF(N24=0,0,M24/N24),2)</f>
        <v>0</v>
      </c>
      <c r="Q24" s="41">
        <f>ROUND(IF(P24=0,0,P24*O24),2)</f>
        <v>0</v>
      </c>
      <c r="R24" s="41">
        <f>ROUND(IF(P24=0,0,Q24/L24),2)</f>
        <v>0</v>
      </c>
      <c r="S24" s="4" t="str">
        <f>IF(M24=0,"",IF(N24=0,"Leistungswert eintragen",IF(O24=0,"SVS prüfen","")))</f>
        <v>Leistungswert eintragen</v>
      </c>
      <c r="U24" s="4">
        <f>VLOOKUP(J24,$U$4:$V$7,2,FALSE)</f>
        <v>7</v>
      </c>
      <c r="V24" s="4">
        <f>U24*30%</f>
        <v>2.1</v>
      </c>
      <c r="W24" s="4">
        <f>SUM(U24:V24)</f>
        <v>9.1</v>
      </c>
      <c r="X24" s="4" t="str">
        <f>IF(N24=0,"",IF(W24&lt;N24,1,IF(W24&gt;=N24,0,"")))</f>
        <v/>
      </c>
    </row>
  </sheetData>
  <sortState xmlns:xlrd2="http://schemas.microsoft.com/office/spreadsheetml/2017/richdata2" ref="U4:U7">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18"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7" priority="5" operator="containsText" text="Bitte prüfen Sie diese.">
      <formula>NOT(ISERROR(SEARCH("Bitte prüfen Sie diese.",L9)))</formula>
    </cfRule>
  </conditionalFormatting>
  <conditionalFormatting sqref="L10">
    <cfRule type="containsText" dxfId="16"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15" priority="3" operator="containsText" text="lediglich Fehleingaben vermeiden wollen.">
      <formula>NOT(ISERROR(SEARCH("lediglich Fehleingaben vermeiden wollen.",L11)))</formula>
    </cfRule>
  </conditionalFormatting>
  <conditionalFormatting sqref="M11">
    <cfRule type="containsText" dxfId="14"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13" priority="2" stopIfTrue="1">
      <formula>N13=0</formula>
    </cfRule>
  </conditionalFormatting>
  <conditionalFormatting sqref="N14">
    <cfRule type="expression" dxfId="12" priority="1">
      <formula>N14=0</formula>
    </cfRule>
  </conditionalFormatting>
  <conditionalFormatting sqref="O13">
    <cfRule type="containsText" dxfId="11"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10" priority="8" operator="containsText" text="Wert(e) prüfen.">
      <formula>NOT(ISERROR(SEARCH("Wert(e) prüfen.",O14)))</formula>
    </cfRule>
  </conditionalFormatting>
  <conditionalFormatting sqref="S22:S24">
    <cfRule type="containsText" dxfId="9" priority="12" stopIfTrue="1" operator="containsText" text="SVS prüfen">
      <formula>NOT(ISERROR(SEARCH("SVS prüfen",S22)))</formula>
    </cfRule>
    <cfRule type="containsText" dxfId="8" priority="13" stopIfTrue="1" operator="containsText" text="Leistungswert eintragen">
      <formula>NOT(ISERROR(SEARCH("Leistungswert eintragen",S22)))</formula>
    </cfRule>
  </conditionalFormatting>
  <hyperlinks>
    <hyperlink ref="M1" location="Inhaltsverzeichnis!A1" display="Zurück zum Inhaltsverzeichnis" xr:uid="{00000000-0004-0000-12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PvH WAT&amp;LAmt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103426"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103427"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103428"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tabColor rgb="FF800000"/>
    <pageSetUpPr fitToPage="1"/>
  </sheetPr>
  <dimension ref="A1:L38"/>
  <sheetViews>
    <sheetView showGridLines="0" zoomScaleNormal="100" workbookViewId="0">
      <selection activeCell="I26" sqref="I26"/>
    </sheetView>
  </sheetViews>
  <sheetFormatPr baseColWidth="10" defaultColWidth="0" defaultRowHeight="10.5" x14ac:dyDescent="0.15"/>
  <cols>
    <col min="1" max="1" width="7.7109375" style="15" customWidth="1"/>
    <col min="2" max="2" width="28.7109375" style="15" customWidth="1"/>
    <col min="3" max="3" width="21.28515625" style="15" bestFit="1" customWidth="1"/>
    <col min="4" max="4" width="12.28515625" style="15" customWidth="1"/>
    <col min="5" max="5" width="10.7109375" style="15" customWidth="1"/>
    <col min="6" max="6" width="12.7109375" style="15" customWidth="1"/>
    <col min="7" max="7" width="15.140625" style="15" customWidth="1"/>
    <col min="8" max="9" width="12.7109375" style="15" customWidth="1"/>
    <col min="10" max="10" width="8.7109375" style="15" customWidth="1"/>
    <col min="11" max="11" width="12.7109375" style="15" customWidth="1"/>
    <col min="12" max="12" width="22.28515625" style="15" customWidth="1"/>
    <col min="13" max="16384" width="0" style="15" hidden="1"/>
  </cols>
  <sheetData>
    <row r="1" spans="1:12" ht="36" customHeight="1" x14ac:dyDescent="0.15">
      <c r="A1" s="14" t="s">
        <v>187</v>
      </c>
      <c r="B1" s="14"/>
      <c r="G1" s="23" t="s">
        <v>100</v>
      </c>
    </row>
    <row r="2" spans="1:12" ht="26.1" customHeight="1" x14ac:dyDescent="0.15">
      <c r="A2" s="14" t="s">
        <v>103</v>
      </c>
      <c r="B2" s="45"/>
      <c r="D2" s="34" t="b">
        <v>0</v>
      </c>
      <c r="E2" s="211" t="str">
        <f>IF(D2=TRUE,"Bitte tragen Sie Ihre Leistungswerte in die gelben Zellen direkt unter der Zelle Leistung (lfm/h) ein. " &amp; "
Die Steigerkosten sind pro Objekt in der Spalte SteigerKosten (€) einzutragen. Wenn keine Kosten dafür anfallen, bitte eine 0 eintragen.",IF(D3=TRUE,
"Die rot markierten Informationen sind nur zur Unterstützung. Sie zeigen an, wenn gelbe Zellen in dieser Tabelle oder in dem Stundenverrechnungssatz (SVS) nicht ausgefüllt sind. " &amp;
"Wenn keine rote Schrift mehr angezeigt wird, ist alles ausgefüllt.",""))</f>
        <v/>
      </c>
      <c r="F2" s="211"/>
      <c r="G2" s="211"/>
      <c r="H2" s="211"/>
      <c r="I2" s="211"/>
      <c r="J2" s="211"/>
    </row>
    <row r="3" spans="1:12" ht="26.1" customHeight="1" x14ac:dyDescent="0.15">
      <c r="D3" s="26" t="b">
        <v>0</v>
      </c>
      <c r="E3" s="212"/>
      <c r="F3" s="212"/>
      <c r="G3" s="212"/>
      <c r="H3" s="212"/>
      <c r="I3" s="212"/>
      <c r="J3" s="212"/>
      <c r="L3" s="35">
        <f>IF(COUNTA($L$5)-COUNTBLANK($L$5)=0,"",COUNTA($L$5)-COUNTBLANK($L$5))</f>
        <v>1</v>
      </c>
    </row>
    <row r="4" spans="1:12" ht="48.75" customHeight="1" x14ac:dyDescent="0.15">
      <c r="A4" s="33" t="s">
        <v>92</v>
      </c>
      <c r="B4" s="33" t="s">
        <v>113</v>
      </c>
      <c r="C4" s="32" t="s">
        <v>197</v>
      </c>
      <c r="D4" s="32" t="s">
        <v>202</v>
      </c>
      <c r="E4" s="32" t="s">
        <v>148</v>
      </c>
      <c r="F4" s="32" t="s">
        <v>188</v>
      </c>
      <c r="G4" s="32" t="s">
        <v>189</v>
      </c>
      <c r="H4" s="32" t="s">
        <v>190</v>
      </c>
      <c r="I4" s="32" t="s">
        <v>191</v>
      </c>
      <c r="J4" s="32" t="s">
        <v>192</v>
      </c>
      <c r="K4" s="32" t="s">
        <v>193</v>
      </c>
    </row>
    <row r="5" spans="1:12" ht="24.95" customHeight="1" x14ac:dyDescent="0.15">
      <c r="A5" s="46">
        <v>1</v>
      </c>
      <c r="B5" s="47" t="s">
        <v>211</v>
      </c>
      <c r="C5" s="47" t="s">
        <v>552</v>
      </c>
      <c r="D5" s="48">
        <v>50</v>
      </c>
      <c r="E5" s="48" t="s">
        <v>144</v>
      </c>
      <c r="F5" s="49">
        <f>VLOOKUP(E5,Reinigungstage!A10:Q31,17,FALSE)</f>
        <v>1</v>
      </c>
      <c r="G5" s="49">
        <f>IF(F5="",0,ROUND($D$5*$F$5,2))</f>
        <v>50</v>
      </c>
      <c r="H5" s="109">
        <v>0</v>
      </c>
      <c r="I5" s="109"/>
      <c r="J5" s="49"/>
      <c r="K5" s="49">
        <f>IF(G5=0,0,IF(H5="",0,IF(I5=0,0,ROUND($G$5/$I$5*$J$5+$H$5*$F$5,2))))</f>
        <v>0</v>
      </c>
      <c r="L5" s="14" t="str">
        <f>IF(G5=0,"",IF(H5="","Steigerkosten eintragen",IF(I5=0,"Leistungswert eintragen",IF(J5=0,"SVS prüfen",""))))</f>
        <v>Leistungswert eintragen</v>
      </c>
    </row>
    <row r="6" spans="1:12" x14ac:dyDescent="0.15">
      <c r="A6" s="14"/>
      <c r="B6" s="14"/>
      <c r="C6" s="14"/>
      <c r="D6" s="14"/>
      <c r="E6" s="14"/>
      <c r="F6" s="14"/>
      <c r="G6" s="14"/>
      <c r="H6" s="14"/>
      <c r="I6" s="14"/>
      <c r="J6" s="14"/>
      <c r="K6" s="14"/>
    </row>
    <row r="7" spans="1:12" ht="18" customHeight="1" x14ac:dyDescent="0.15">
      <c r="A7" s="14"/>
      <c r="B7" s="211" t="s">
        <v>574</v>
      </c>
      <c r="C7" s="150"/>
      <c r="D7" s="150"/>
      <c r="E7" s="150"/>
      <c r="F7" s="150"/>
      <c r="G7" s="150"/>
      <c r="H7" s="150"/>
      <c r="I7" s="150"/>
      <c r="J7" s="14"/>
      <c r="K7" s="14"/>
    </row>
    <row r="8" spans="1:12" ht="18" customHeight="1" x14ac:dyDescent="0.15">
      <c r="A8" s="14"/>
      <c r="B8" s="211" t="s">
        <v>575</v>
      </c>
      <c r="C8" s="150"/>
      <c r="D8" s="150"/>
      <c r="E8" s="150"/>
      <c r="F8" s="150"/>
      <c r="G8" s="150"/>
      <c r="H8" s="150"/>
      <c r="I8" s="150"/>
      <c r="J8" s="14"/>
      <c r="K8" s="14"/>
    </row>
    <row r="9" spans="1:12" ht="18" customHeight="1" x14ac:dyDescent="0.15">
      <c r="A9" s="14"/>
      <c r="B9" s="211" t="s">
        <v>576</v>
      </c>
      <c r="C9" s="150"/>
      <c r="D9" s="150"/>
      <c r="E9" s="150"/>
      <c r="F9" s="150"/>
      <c r="G9" s="150"/>
      <c r="H9" s="150"/>
      <c r="I9" s="150"/>
      <c r="J9" s="14"/>
      <c r="K9" s="14"/>
    </row>
    <row r="10" spans="1:12" x14ac:dyDescent="0.15">
      <c r="A10" s="14"/>
      <c r="B10" s="14"/>
      <c r="C10" s="14"/>
      <c r="D10" s="14"/>
      <c r="E10" s="14"/>
      <c r="F10" s="14"/>
      <c r="G10" s="14"/>
      <c r="H10" s="14"/>
      <c r="I10" s="14"/>
      <c r="J10" s="14"/>
      <c r="K10" s="14"/>
    </row>
    <row r="11" spans="1:12" x14ac:dyDescent="0.15">
      <c r="A11" s="14"/>
      <c r="B11" s="14"/>
      <c r="C11" s="14"/>
      <c r="D11" s="14"/>
      <c r="E11" s="14"/>
      <c r="F11" s="14"/>
      <c r="G11" s="14"/>
      <c r="H11" s="14"/>
      <c r="I11" s="14"/>
      <c r="J11" s="14"/>
      <c r="K11" s="14"/>
    </row>
    <row r="12" spans="1:12" x14ac:dyDescent="0.15">
      <c r="A12" s="14"/>
      <c r="B12" s="14"/>
      <c r="C12" s="14"/>
      <c r="D12" s="14"/>
      <c r="E12" s="14"/>
      <c r="F12" s="14"/>
      <c r="G12" s="14"/>
      <c r="H12" s="14"/>
      <c r="I12" s="14"/>
      <c r="J12" s="14"/>
      <c r="K12" s="14"/>
    </row>
    <row r="13" spans="1:12" x14ac:dyDescent="0.15">
      <c r="A13" s="14"/>
      <c r="B13" s="14"/>
      <c r="C13" s="14"/>
      <c r="D13" s="14"/>
      <c r="E13" s="14"/>
      <c r="F13" s="14"/>
      <c r="G13" s="14"/>
      <c r="H13" s="14"/>
      <c r="I13" s="14"/>
      <c r="J13" s="14"/>
      <c r="K13" s="14"/>
    </row>
    <row r="14" spans="1:12" x14ac:dyDescent="0.15">
      <c r="A14" s="14"/>
      <c r="B14" s="14"/>
      <c r="C14" s="14"/>
      <c r="D14" s="14"/>
      <c r="E14" s="14"/>
      <c r="F14" s="14"/>
      <c r="G14" s="14"/>
      <c r="H14" s="14"/>
      <c r="I14" s="14"/>
      <c r="J14" s="14"/>
      <c r="K14" s="14"/>
    </row>
    <row r="15" spans="1:12" x14ac:dyDescent="0.15">
      <c r="A15" s="14"/>
      <c r="B15" s="14"/>
      <c r="C15" s="14"/>
      <c r="D15" s="14"/>
      <c r="E15" s="14"/>
      <c r="F15" s="14"/>
      <c r="G15" s="14"/>
      <c r="H15" s="14"/>
      <c r="I15" s="14"/>
      <c r="J15" s="14"/>
      <c r="K15" s="14"/>
    </row>
    <row r="16" spans="1:12" x14ac:dyDescent="0.15">
      <c r="A16" s="14"/>
      <c r="B16" s="14"/>
      <c r="C16" s="14"/>
      <c r="D16" s="14"/>
      <c r="E16" s="14"/>
      <c r="F16" s="14"/>
      <c r="G16" s="14"/>
      <c r="H16" s="14"/>
      <c r="I16" s="14"/>
      <c r="J16" s="14"/>
      <c r="K16" s="14"/>
    </row>
    <row r="17" spans="1:11" x14ac:dyDescent="0.15">
      <c r="A17" s="14"/>
      <c r="B17" s="14"/>
      <c r="C17" s="14"/>
      <c r="D17" s="14"/>
      <c r="E17" s="14"/>
      <c r="F17" s="14"/>
      <c r="G17" s="14"/>
      <c r="H17" s="14"/>
      <c r="I17" s="14"/>
      <c r="J17" s="14"/>
      <c r="K17" s="14"/>
    </row>
    <row r="18" spans="1:11" x14ac:dyDescent="0.15">
      <c r="A18" s="14"/>
      <c r="B18" s="14"/>
      <c r="C18" s="14"/>
      <c r="D18" s="14"/>
      <c r="E18" s="14"/>
      <c r="F18" s="14"/>
      <c r="G18" s="14"/>
      <c r="H18" s="14"/>
      <c r="I18" s="14"/>
      <c r="J18" s="14"/>
      <c r="K18" s="14"/>
    </row>
    <row r="19" spans="1:11" x14ac:dyDescent="0.15">
      <c r="A19" s="14"/>
      <c r="B19" s="14"/>
      <c r="C19" s="14"/>
      <c r="D19" s="14"/>
      <c r="E19" s="14"/>
      <c r="F19" s="14"/>
      <c r="G19" s="14"/>
      <c r="H19" s="14"/>
      <c r="I19" s="14"/>
      <c r="J19" s="14"/>
      <c r="K19" s="14"/>
    </row>
    <row r="20" spans="1:11" x14ac:dyDescent="0.15">
      <c r="A20" s="14"/>
      <c r="B20" s="14"/>
      <c r="C20" s="14"/>
      <c r="D20" s="14"/>
      <c r="E20" s="14"/>
      <c r="F20" s="14"/>
      <c r="G20" s="14"/>
      <c r="H20" s="14"/>
      <c r="I20" s="14"/>
      <c r="J20" s="14"/>
      <c r="K20" s="14"/>
    </row>
    <row r="21" spans="1:11" x14ac:dyDescent="0.15">
      <c r="A21" s="14"/>
      <c r="B21" s="14"/>
      <c r="C21" s="14"/>
      <c r="D21" s="14"/>
      <c r="E21" s="14"/>
      <c r="F21" s="14"/>
      <c r="G21" s="14"/>
      <c r="H21" s="14"/>
      <c r="I21" s="14"/>
      <c r="J21" s="14"/>
      <c r="K21" s="14"/>
    </row>
    <row r="22" spans="1:11" x14ac:dyDescent="0.15">
      <c r="A22" s="14"/>
      <c r="B22" s="14"/>
      <c r="C22" s="14"/>
      <c r="D22" s="14"/>
      <c r="E22" s="14"/>
      <c r="F22" s="14"/>
      <c r="G22" s="14"/>
      <c r="H22" s="14"/>
      <c r="I22" s="14"/>
      <c r="J22" s="14"/>
      <c r="K22" s="14"/>
    </row>
    <row r="23" spans="1:11" x14ac:dyDescent="0.15">
      <c r="A23" s="14"/>
      <c r="B23" s="14"/>
      <c r="C23" s="14"/>
      <c r="D23" s="14"/>
      <c r="E23" s="14"/>
      <c r="F23" s="14"/>
      <c r="G23" s="14"/>
      <c r="H23" s="14"/>
      <c r="I23" s="14"/>
      <c r="J23" s="14"/>
      <c r="K23" s="14"/>
    </row>
    <row r="24" spans="1:11" x14ac:dyDescent="0.15">
      <c r="A24" s="14"/>
      <c r="B24" s="14"/>
      <c r="C24" s="14"/>
      <c r="D24" s="14"/>
      <c r="E24" s="14"/>
      <c r="F24" s="14"/>
      <c r="G24" s="14"/>
      <c r="H24" s="14"/>
      <c r="I24" s="14"/>
      <c r="J24" s="14"/>
      <c r="K24" s="14"/>
    </row>
    <row r="25" spans="1:11" x14ac:dyDescent="0.15">
      <c r="A25" s="14"/>
      <c r="B25" s="14"/>
      <c r="C25" s="14"/>
      <c r="D25" s="14"/>
      <c r="E25" s="14"/>
      <c r="F25" s="14"/>
      <c r="G25" s="14"/>
      <c r="H25" s="14"/>
      <c r="I25" s="14"/>
      <c r="J25" s="14"/>
      <c r="K25" s="14"/>
    </row>
    <row r="26" spans="1:11" x14ac:dyDescent="0.15">
      <c r="A26" s="14"/>
      <c r="B26" s="14"/>
      <c r="C26" s="14"/>
      <c r="D26" s="14"/>
      <c r="E26" s="14"/>
      <c r="F26" s="14"/>
      <c r="G26" s="14"/>
      <c r="H26" s="14"/>
      <c r="I26" s="14"/>
      <c r="J26" s="14"/>
      <c r="K26" s="14"/>
    </row>
    <row r="27" spans="1:11" x14ac:dyDescent="0.15">
      <c r="A27" s="14"/>
      <c r="B27" s="14"/>
      <c r="C27" s="14"/>
      <c r="D27" s="14"/>
      <c r="E27" s="14"/>
      <c r="F27" s="14"/>
      <c r="G27" s="14"/>
      <c r="H27" s="14"/>
      <c r="I27" s="14"/>
      <c r="J27" s="14"/>
      <c r="K27" s="14"/>
    </row>
    <row r="28" spans="1:11" x14ac:dyDescent="0.15">
      <c r="A28" s="14"/>
      <c r="B28" s="14"/>
      <c r="C28" s="14"/>
      <c r="D28" s="14"/>
      <c r="E28" s="14"/>
      <c r="F28" s="14"/>
      <c r="G28" s="14"/>
      <c r="H28" s="14"/>
      <c r="I28" s="14"/>
      <c r="J28" s="14"/>
      <c r="K28" s="14"/>
    </row>
    <row r="29" spans="1:11" x14ac:dyDescent="0.15">
      <c r="A29" s="14"/>
      <c r="B29" s="14"/>
      <c r="C29" s="14"/>
      <c r="D29" s="14"/>
      <c r="E29" s="14"/>
      <c r="F29" s="14"/>
      <c r="G29" s="14"/>
      <c r="H29" s="14"/>
      <c r="I29" s="14"/>
      <c r="J29" s="14"/>
      <c r="K29" s="14"/>
    </row>
    <row r="30" spans="1:11" x14ac:dyDescent="0.15">
      <c r="A30" s="14"/>
      <c r="B30" s="14"/>
      <c r="C30" s="14"/>
      <c r="D30" s="14"/>
      <c r="E30" s="14"/>
      <c r="F30" s="14"/>
      <c r="G30" s="14"/>
      <c r="H30" s="14"/>
      <c r="I30" s="14"/>
      <c r="J30" s="14"/>
      <c r="K30" s="14"/>
    </row>
    <row r="31" spans="1:11" x14ac:dyDescent="0.15">
      <c r="A31" s="14"/>
      <c r="B31" s="14"/>
      <c r="C31" s="14"/>
      <c r="D31" s="14"/>
      <c r="E31" s="14"/>
      <c r="F31" s="14"/>
      <c r="G31" s="14"/>
      <c r="H31" s="14"/>
      <c r="I31" s="14"/>
      <c r="J31" s="14"/>
      <c r="K31" s="14"/>
    </row>
    <row r="32" spans="1:11" x14ac:dyDescent="0.15">
      <c r="A32" s="14"/>
      <c r="B32" s="14"/>
      <c r="C32" s="14"/>
      <c r="D32" s="14"/>
      <c r="E32" s="14"/>
      <c r="F32" s="14"/>
      <c r="G32" s="14"/>
      <c r="H32" s="14"/>
      <c r="I32" s="14"/>
      <c r="J32" s="14"/>
      <c r="K32" s="14"/>
    </row>
    <row r="33" spans="1:11" x14ac:dyDescent="0.15">
      <c r="A33" s="14"/>
      <c r="B33" s="14"/>
      <c r="C33" s="14"/>
      <c r="D33" s="14"/>
      <c r="E33" s="14"/>
      <c r="F33" s="14"/>
      <c r="G33" s="14"/>
      <c r="H33" s="14"/>
      <c r="I33" s="14"/>
      <c r="J33" s="14"/>
      <c r="K33" s="14"/>
    </row>
    <row r="34" spans="1:11" x14ac:dyDescent="0.15">
      <c r="A34" s="14"/>
      <c r="B34" s="14"/>
      <c r="C34" s="14"/>
      <c r="D34" s="14"/>
      <c r="E34" s="14"/>
      <c r="F34" s="14"/>
      <c r="G34" s="14"/>
      <c r="H34" s="14"/>
      <c r="I34" s="14"/>
      <c r="J34" s="14"/>
      <c r="K34" s="14"/>
    </row>
    <row r="35" spans="1:11" x14ac:dyDescent="0.15">
      <c r="A35" s="14"/>
      <c r="B35" s="14"/>
      <c r="C35" s="14"/>
      <c r="D35" s="14"/>
      <c r="E35" s="14"/>
      <c r="F35" s="14"/>
      <c r="G35" s="14"/>
      <c r="H35" s="14"/>
      <c r="I35" s="14"/>
      <c r="J35" s="14"/>
      <c r="K35" s="14"/>
    </row>
    <row r="36" spans="1:11" x14ac:dyDescent="0.15">
      <c r="A36" s="14"/>
      <c r="B36" s="14"/>
      <c r="C36" s="14"/>
      <c r="D36" s="14"/>
      <c r="E36" s="14"/>
      <c r="F36" s="14"/>
      <c r="G36" s="14"/>
      <c r="H36" s="14"/>
      <c r="I36" s="14"/>
      <c r="J36" s="14"/>
      <c r="K36" s="14"/>
    </row>
    <row r="37" spans="1:11" x14ac:dyDescent="0.15">
      <c r="A37" s="14"/>
      <c r="B37" s="14"/>
      <c r="C37" s="14"/>
      <c r="D37" s="14"/>
      <c r="E37" s="14"/>
      <c r="F37" s="14"/>
      <c r="G37" s="14"/>
      <c r="H37" s="14"/>
      <c r="I37" s="14"/>
      <c r="J37" s="14"/>
      <c r="K37" s="14"/>
    </row>
    <row r="38" spans="1:11" x14ac:dyDescent="0.15">
      <c r="A38" s="14"/>
      <c r="B38" s="14"/>
      <c r="C38" s="14"/>
      <c r="D38" s="14"/>
      <c r="E38" s="14"/>
      <c r="F38" s="14"/>
      <c r="G38" s="14"/>
      <c r="H38" s="14"/>
      <c r="I38" s="14"/>
      <c r="J38" s="14"/>
      <c r="K38" s="14"/>
    </row>
  </sheetData>
  <mergeCells count="4">
    <mergeCell ref="E2:J3"/>
    <mergeCell ref="B7:I7"/>
    <mergeCell ref="B8:I8"/>
    <mergeCell ref="B9:I9"/>
  </mergeCells>
  <conditionalFormatting sqref="L5">
    <cfRule type="containsText" dxfId="7" priority="1" stopIfTrue="1" operator="containsText" text="Steigerkosten eintragen">
      <formula>NOT(ISERROR(SEARCH("Steigerkosten eintragen",L5)))</formula>
    </cfRule>
    <cfRule type="containsText" dxfId="6" priority="2" stopIfTrue="1" operator="containsText" text="SVS prüfen">
      <formula>NOT(ISERROR(SEARCH("SVS prüfen",L5)))</formula>
    </cfRule>
    <cfRule type="containsText" dxfId="5" priority="3" stopIfTrue="1" operator="containsText" text="Leistungswert eintragen">
      <formula>NOT(ISERROR(SEARCH("Leistungswert eintragen",L5)))</formula>
    </cfRule>
  </conditionalFormatting>
  <hyperlinks>
    <hyperlink ref="G1" location="Inhaltsverzeichnis!A1" display="Zurück zum Inhaltsverzeichnis" xr:uid="{00000000-0004-0000-1300-000000000000}"/>
  </hyperlinks>
  <printOptions horizontalCentered="1"/>
  <pageMargins left="0.78740157480314965" right="0.78740157480314965" top="0.98425196850393704" bottom="0.98425196850393704" header="0.51181102362204722" footer="0.51181102362204722"/>
  <pageSetup paperSize="9" scale="84" orientation="landscape" r:id="rId1"/>
  <headerFooter alignWithMargins="0">
    <oddFooter>&amp;RKal Rohre u Balken Gesamt&amp;LAmt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3</xdr:col>
                    <xdr:colOff>38100</xdr:colOff>
                    <xdr:row>1</xdr:row>
                    <xdr:rowOff>114300</xdr:rowOff>
                  </from>
                  <to>
                    <xdr:col>3</xdr:col>
                    <xdr:colOff>800100</xdr:colOff>
                    <xdr:row>2</xdr:row>
                    <xdr:rowOff>19050</xdr:rowOff>
                  </to>
                </anchor>
              </controlPr>
            </control>
          </mc:Choice>
        </mc:AlternateContent>
        <mc:AlternateContent xmlns:mc="http://schemas.openxmlformats.org/markup-compatibility/2006">
          <mc:Choice Requires="x14">
            <control shapeId="49154" r:id="rId5" name="Check Box 2">
              <controlPr defaultSize="0" autoFill="0" autoLine="0" autoPict="0" altText="Hinweis 2">
                <anchor moveWithCells="1">
                  <from>
                    <xdr:col>3</xdr:col>
                    <xdr:colOff>38100</xdr:colOff>
                    <xdr:row>2</xdr:row>
                    <xdr:rowOff>47625</xdr:rowOff>
                  </from>
                  <to>
                    <xdr:col>3</xdr:col>
                    <xdr:colOff>800100</xdr:colOff>
                    <xdr:row>2</xdr:row>
                    <xdr:rowOff>276225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tabColor rgb="FFFFFF00"/>
  </sheetPr>
  <dimension ref="A1:V7"/>
  <sheetViews>
    <sheetView showGridLines="0" zoomScaleNormal="100" workbookViewId="0"/>
  </sheetViews>
  <sheetFormatPr baseColWidth="10" defaultColWidth="0" defaultRowHeight="15" customHeight="1" x14ac:dyDescent="0.2"/>
  <cols>
    <col min="1" max="1" width="7.7109375" style="4" customWidth="1"/>
    <col min="2" max="2" width="29.7109375" style="4" customWidth="1"/>
    <col min="3" max="3" width="12.7109375" style="4" customWidth="1"/>
    <col min="4" max="4" width="9.28515625" style="4" customWidth="1"/>
    <col min="5" max="5" width="11.85546875" style="4" customWidth="1"/>
    <col min="6" max="6" width="7.28515625" style="4" customWidth="1"/>
    <col min="7" max="7" width="12.7109375" style="4" customWidth="1"/>
    <col min="8" max="8" width="17" style="4" customWidth="1"/>
    <col min="9" max="9" width="9.7109375" style="4" customWidth="1"/>
    <col min="10" max="10" width="10.7109375" style="4" customWidth="1"/>
    <col min="11" max="11" width="11.42578125" style="4" customWidth="1"/>
    <col min="12" max="12" width="10.7109375" style="4" customWidth="1"/>
    <col min="13" max="13" width="14.7109375" style="4" customWidth="1"/>
    <col min="14" max="14" width="12.85546875" style="4" customWidth="1"/>
    <col min="15" max="15" width="20.42578125" style="4" customWidth="1"/>
    <col min="16" max="16" width="18" style="4" hidden="1" customWidth="1"/>
    <col min="17" max="22" width="0" style="4" hidden="1" customWidth="1"/>
    <col min="23" max="16384" width="11.42578125" style="4" hidden="1"/>
  </cols>
  <sheetData>
    <row r="1" spans="1:15" ht="36" customHeight="1" x14ac:dyDescent="0.2">
      <c r="A1" s="118" t="s">
        <v>184</v>
      </c>
      <c r="B1" s="119"/>
      <c r="C1" s="8"/>
      <c r="E1" s="8"/>
      <c r="G1" s="99" t="b">
        <v>0</v>
      </c>
      <c r="H1" s="213" t="str">
        <f>IF(G1=TRUE,"Hier sind die Leistungswerte für die Teilreinigung in die gelben Zellen einzufügen. Beachten Sie die im Leistungsverzeichnis vorgegebenen Leistungen," &amp; " um die richtigen Leistungswerte zu finden. Sie können erheblich von den Werten der normalen Unterhaltsreinigung abweichen.","")</f>
        <v/>
      </c>
      <c r="I1" s="213"/>
      <c r="J1" s="213"/>
      <c r="K1" s="213"/>
      <c r="L1" s="213"/>
      <c r="M1" s="6" t="s">
        <v>100</v>
      </c>
    </row>
    <row r="2" spans="1:15" ht="25.9" customHeight="1" x14ac:dyDescent="0.2">
      <c r="A2" s="8" t="s">
        <v>103</v>
      </c>
      <c r="B2" s="5"/>
      <c r="C2" s="8"/>
      <c r="D2" s="8"/>
      <c r="E2" s="8"/>
      <c r="F2" s="8"/>
      <c r="G2" s="8"/>
      <c r="H2" s="213"/>
      <c r="I2" s="213"/>
      <c r="J2" s="213"/>
      <c r="K2" s="213"/>
      <c r="L2" s="213"/>
    </row>
    <row r="3" spans="1:15" ht="15" customHeight="1" x14ac:dyDescent="0.2">
      <c r="A3" s="8"/>
      <c r="B3" s="8"/>
      <c r="C3" s="8"/>
      <c r="D3" s="8"/>
      <c r="E3" s="8"/>
      <c r="F3" s="8"/>
      <c r="G3" s="8"/>
      <c r="H3" s="8"/>
      <c r="I3" s="8"/>
      <c r="O3" s="19">
        <f>IF(COUNTA($O$5:$O$7)-COUNTBLANK($O$5:$O$7)=0,"",COUNTA($O$5:$O$7)-COUNTBLANK($O$5:$O$7))</f>
        <v>3</v>
      </c>
    </row>
    <row r="4" spans="1:15" ht="45" customHeight="1" x14ac:dyDescent="0.2">
      <c r="A4" s="1" t="s">
        <v>92</v>
      </c>
      <c r="B4" s="9" t="s">
        <v>113</v>
      </c>
      <c r="C4" s="2" t="s">
        <v>99</v>
      </c>
      <c r="D4" s="2" t="s">
        <v>149</v>
      </c>
      <c r="E4" s="2" t="s">
        <v>115</v>
      </c>
      <c r="F4" s="2" t="s">
        <v>104</v>
      </c>
      <c r="G4" s="2" t="s">
        <v>150</v>
      </c>
      <c r="H4" s="2" t="s">
        <v>109</v>
      </c>
      <c r="I4" s="2" t="s">
        <v>105</v>
      </c>
      <c r="J4" s="2" t="s">
        <v>110</v>
      </c>
      <c r="K4" s="2" t="s">
        <v>151</v>
      </c>
      <c r="L4" s="10" t="s">
        <v>114</v>
      </c>
      <c r="M4" s="2" t="s">
        <v>152</v>
      </c>
      <c r="N4" s="2" t="s">
        <v>153</v>
      </c>
    </row>
    <row r="5" spans="1:15" ht="15" customHeight="1" x14ac:dyDescent="0.2">
      <c r="A5" s="22">
        <v>1</v>
      </c>
      <c r="B5" s="13" t="s">
        <v>203</v>
      </c>
      <c r="C5" s="13" t="s">
        <v>265</v>
      </c>
      <c r="D5" s="41">
        <v>1</v>
      </c>
      <c r="E5" s="41">
        <v>68.59</v>
      </c>
      <c r="F5" s="41">
        <v>2</v>
      </c>
      <c r="G5" s="41">
        <f>VLOOKUP(F5,Reinigungstage!A10:R31,18,FALSE)</f>
        <v>77.59</v>
      </c>
      <c r="H5" s="41">
        <f>ROUND(IF(E5=0,0,E5*G5),2)</f>
        <v>5321.9</v>
      </c>
      <c r="I5" s="93"/>
      <c r="J5" s="41">
        <f ca="1">IF('SVS UnterhaltsRG'!H61="",0,'SVS UnterhaltsRG'!H61)</f>
        <v>0</v>
      </c>
      <c r="K5" s="41">
        <f>ROUND(IF(I5=0,0,H5/I5),2)</f>
        <v>0</v>
      </c>
      <c r="L5" s="41">
        <f ca="1">ROUND(IF(J5="",0,K5*J5),2)</f>
        <v>0</v>
      </c>
      <c r="M5" s="41">
        <f ca="1">ROUND(IF(G5=0,0,L5/G5),2)</f>
        <v>0</v>
      </c>
      <c r="N5" s="41">
        <f>ROUND(IF(G5=0,0,K5/G5),2)</f>
        <v>0</v>
      </c>
      <c r="O5" s="4" t="str">
        <f>IF(H5=0,"",IF(I5=0,"Leistungswert eintragen",IF(J5=0,"SVS prüfen","")))</f>
        <v>Leistungswert eintragen</v>
      </c>
    </row>
    <row r="6" spans="1:15" ht="15" customHeight="1" x14ac:dyDescent="0.2">
      <c r="A6" s="22">
        <v>2</v>
      </c>
      <c r="B6" s="13" t="s">
        <v>218</v>
      </c>
      <c r="C6" s="13" t="s">
        <v>265</v>
      </c>
      <c r="D6" s="41">
        <v>1</v>
      </c>
      <c r="E6" s="41">
        <v>54.57</v>
      </c>
      <c r="F6" s="41">
        <v>2</v>
      </c>
      <c r="G6" s="41">
        <f>VLOOKUP(F6,Reinigungstage!A10:S31,19,FALSE)</f>
        <v>77.59</v>
      </c>
      <c r="H6" s="41">
        <f>ROUND(IF(E6=0,0,E6*G6),2)</f>
        <v>4234.09</v>
      </c>
      <c r="I6" s="93"/>
      <c r="J6" s="41">
        <f ca="1">IF('SVS UnterhaltsRG'!H61="",0,'SVS UnterhaltsRG'!H61)</f>
        <v>0</v>
      </c>
      <c r="K6" s="41">
        <f>ROUND(IF(I6=0,0,H6/I6),2)</f>
        <v>0</v>
      </c>
      <c r="L6" s="41">
        <f ca="1">ROUND(IF(J6="",0,K6*J6),2)</f>
        <v>0</v>
      </c>
      <c r="M6" s="41">
        <f ca="1">ROUND(IF(G6=0,0,L6/G6),2)</f>
        <v>0</v>
      </c>
      <c r="N6" s="41">
        <f>ROUND(IF(G6=0,0,K6/G6),2)</f>
        <v>0</v>
      </c>
      <c r="O6" s="4" t="str">
        <f>IF(H6=0,"",IF(I6=0,"Leistungswert eintragen",IF(J6=0,"SVS prüfen","")))</f>
        <v>Leistungswert eintragen</v>
      </c>
    </row>
    <row r="7" spans="1:15" ht="15" customHeight="1" x14ac:dyDescent="0.2">
      <c r="A7" s="22">
        <v>3</v>
      </c>
      <c r="B7" s="13" t="s">
        <v>218</v>
      </c>
      <c r="C7" s="13" t="s">
        <v>264</v>
      </c>
      <c r="D7" s="41">
        <v>1</v>
      </c>
      <c r="E7" s="41">
        <v>5.63</v>
      </c>
      <c r="F7" s="41">
        <v>2</v>
      </c>
      <c r="G7" s="41">
        <f>VLOOKUP(F7,Reinigungstage!A10:S31,19,FALSE)</f>
        <v>77.59</v>
      </c>
      <c r="H7" s="41">
        <f>ROUND(IF(E7=0,0,E7*G7),2)</f>
        <v>436.83</v>
      </c>
      <c r="I7" s="93"/>
      <c r="J7" s="41">
        <f ca="1">IF('SVS UnterhaltsRG'!H61="",0,'SVS UnterhaltsRG'!H61)</f>
        <v>0</v>
      </c>
      <c r="K7" s="41">
        <f>ROUND(IF(I7=0,0,H7/I7),2)</f>
        <v>0</v>
      </c>
      <c r="L7" s="41">
        <f ca="1">ROUND(IF(J7="",0,K7*J7),2)</f>
        <v>0</v>
      </c>
      <c r="M7" s="41">
        <f ca="1">ROUND(IF(G7=0,0,L7/G7),2)</f>
        <v>0</v>
      </c>
      <c r="N7" s="41">
        <f>ROUND(IF(G7=0,0,K7/G7),2)</f>
        <v>0</v>
      </c>
      <c r="O7" s="4" t="str">
        <f>IF(H7=0,"",IF(I7=0,"Leistungswert eintragen",IF(J7=0,"SVS prüfen","")))</f>
        <v>Leistungswert eintragen</v>
      </c>
    </row>
  </sheetData>
  <mergeCells count="1">
    <mergeCell ref="H1:L2"/>
  </mergeCells>
  <conditionalFormatting sqref="O5:O7">
    <cfRule type="containsText" dxfId="4" priority="1" stopIfTrue="1" operator="containsText" text="SVS prüfen">
      <formula>NOT(ISERROR(SEARCH("SVS prüfen",O5)))</formula>
    </cfRule>
    <cfRule type="containsText" dxfId="3" priority="2" stopIfTrue="1" operator="containsText" text="Leistungswert eintragen">
      <formula>NOT(ISERROR(SEARCH("Leistungswert eintragen",O5)))</formula>
    </cfRule>
    <cfRule type="containsText" dxfId="2" priority="3" stopIfTrue="1" operator="containsText" text="SVS prüfen">
      <formula>NOT(ISERROR(SEARCH("SVS prüfen",O5)))</formula>
    </cfRule>
    <cfRule type="containsText" dxfId="1" priority="4" stopIfTrue="1" operator="containsText" text="Leistungswert eintragen">
      <formula>NOT(ISERROR(SEARCH("Leistungswert eintragen",O5)))</formula>
    </cfRule>
  </conditionalFormatting>
  <hyperlinks>
    <hyperlink ref="M1" location="Inhaltsverzeichnis!A1" display="Zurück zum Inhaltsverzeichnis" xr:uid="{00000000-0004-0000-1400-000000000000}"/>
  </hyperlinks>
  <printOptions horizontalCentered="1"/>
  <pageMargins left="0.78740157480314965" right="0.78740157480314965" top="0.98425196850393704" bottom="0.98425196850393704" header="0.51181102362204722" footer="0.51181102362204722"/>
  <pageSetup paperSize="9" scale="60" firstPageNumber="20" orientation="landscape" r:id="rId1"/>
  <headerFooter alignWithMargins="0">
    <oddHeader>&amp;L&amp;F</oddHeader>
    <oddFooter>&amp;RKal TeilRG Gesamt&amp;LAmt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2" r:id="rId4" name="Check Box 2">
              <controlPr defaultSize="0" autoFill="0" autoLine="0" autoPict="0" altText="Hinweis">
                <anchor moveWithCells="1">
                  <from>
                    <xdr:col>6</xdr:col>
                    <xdr:colOff>47625</xdr:colOff>
                    <xdr:row>0</xdr:row>
                    <xdr:rowOff>114300</xdr:rowOff>
                  </from>
                  <to>
                    <xdr:col>6</xdr:col>
                    <xdr:colOff>838200</xdr:colOff>
                    <xdr:row>0</xdr:row>
                    <xdr:rowOff>361950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7">
    <tabColor rgb="FFFFFF00"/>
    <pageSetUpPr fitToPage="1"/>
  </sheetPr>
  <dimension ref="A1:O45"/>
  <sheetViews>
    <sheetView showGridLines="0" zoomScaleNormal="100" workbookViewId="0">
      <selection activeCell="C8" sqref="C8:C9"/>
    </sheetView>
  </sheetViews>
  <sheetFormatPr baseColWidth="10" defaultColWidth="0" defaultRowHeight="15" customHeight="1" x14ac:dyDescent="0.15"/>
  <cols>
    <col min="1" max="1" width="7.7109375" style="15" customWidth="1"/>
    <col min="2" max="2" width="28.7109375" style="15" customWidth="1"/>
    <col min="3" max="3" width="35.7109375" style="15" customWidth="1"/>
    <col min="4" max="4" width="20.7109375" style="15" customWidth="1"/>
    <col min="5" max="5" width="11.7109375" style="15" customWidth="1"/>
    <col min="6" max="6" width="16.28515625" style="15" customWidth="1"/>
    <col min="7" max="7" width="17.28515625" style="15" customWidth="1"/>
    <col min="8" max="8" width="22.28515625" style="15" customWidth="1"/>
    <col min="9" max="9" width="11.7109375" style="15" hidden="1" customWidth="1"/>
    <col min="10" max="10" width="5.7109375" style="15" hidden="1" customWidth="1"/>
    <col min="11" max="11" width="12.7109375" style="15" hidden="1" customWidth="1"/>
    <col min="12" max="12" width="13.28515625" style="15" hidden="1" customWidth="1"/>
    <col min="13" max="13" width="10" style="15" hidden="1" customWidth="1"/>
    <col min="14" max="14" width="11.42578125" style="15" hidden="1" customWidth="1"/>
    <col min="15" max="15" width="10.5703125" style="15" hidden="1" customWidth="1"/>
    <col min="16" max="16384" width="0" style="15" hidden="1"/>
  </cols>
  <sheetData>
    <row r="1" spans="1:8" s="14" customFormat="1" ht="36" customHeight="1" x14ac:dyDescent="0.2">
      <c r="A1" s="120" t="s">
        <v>221</v>
      </c>
      <c r="B1" s="120"/>
      <c r="D1" s="24"/>
      <c r="F1" s="25" t="s">
        <v>100</v>
      </c>
    </row>
    <row r="2" spans="1:8" s="14" customFormat="1" ht="25.9" customHeight="1" x14ac:dyDescent="0.2">
      <c r="A2" s="14" t="s">
        <v>103</v>
      </c>
      <c r="B2" s="45"/>
      <c r="C2" s="26" t="b">
        <v>0</v>
      </c>
      <c r="D2" s="211" t="str">
        <f>IF(C2=TRUE,"Hier ist lediglich der Preis pro Einheit (€) auszufüllen.
Die rot markierten Informationen verschwinden, wenn die gelben Zellen ausgefüllt sind.  Wenn keine rote Schrift mehr angezeigt wird, ist alles ausgefüllt.","")</f>
        <v/>
      </c>
      <c r="E2" s="211"/>
      <c r="F2" s="211"/>
      <c r="G2" s="211"/>
    </row>
    <row r="3" spans="1:8" s="14" customFormat="1" ht="22.5" customHeight="1" x14ac:dyDescent="0.2">
      <c r="D3" s="212"/>
      <c r="E3" s="212"/>
      <c r="F3" s="212"/>
      <c r="G3" s="212"/>
      <c r="H3" s="27">
        <f>IF(COUNTA($H$5:$H$7)-COUNTBLANK($H$5:$H$7)=0,"",COUNTA($H$5:$H$7)-COUNTBLANK($H$5:$H$7))</f>
        <v>3</v>
      </c>
    </row>
    <row r="4" spans="1:8" ht="45" customHeight="1" x14ac:dyDescent="0.15">
      <c r="A4" s="30" t="s">
        <v>92</v>
      </c>
      <c r="B4" s="30" t="s">
        <v>113</v>
      </c>
      <c r="C4" s="31" t="s">
        <v>117</v>
      </c>
      <c r="D4" s="29" t="s">
        <v>154</v>
      </c>
      <c r="E4" s="29" t="s">
        <v>194</v>
      </c>
      <c r="F4" s="29" t="s">
        <v>195</v>
      </c>
      <c r="G4" s="29" t="s">
        <v>196</v>
      </c>
    </row>
    <row r="5" spans="1:8" ht="15" customHeight="1" x14ac:dyDescent="0.15">
      <c r="A5" s="46">
        <v>1</v>
      </c>
      <c r="B5" s="47" t="s">
        <v>203</v>
      </c>
      <c r="C5" s="47" t="s">
        <v>553</v>
      </c>
      <c r="D5" s="48" t="s">
        <v>554</v>
      </c>
      <c r="E5" s="125"/>
      <c r="F5" s="109"/>
      <c r="G5" s="49">
        <f>ROUND(IF(F5=0,0,F5*E5),2)</f>
        <v>0</v>
      </c>
      <c r="H5" s="14" t="str">
        <f>IF(F5=0,"Preis eintragen","")</f>
        <v>Preis eintragen</v>
      </c>
    </row>
    <row r="6" spans="1:8" ht="35.1" customHeight="1" x14ac:dyDescent="0.15">
      <c r="A6" s="46">
        <v>2</v>
      </c>
      <c r="B6" s="47" t="s">
        <v>203</v>
      </c>
      <c r="C6" s="37" t="s">
        <v>555</v>
      </c>
      <c r="D6" s="53" t="s">
        <v>556</v>
      </c>
      <c r="E6" s="126"/>
      <c r="F6" s="110"/>
      <c r="G6" s="49">
        <f t="shared" ref="G6:G8" si="0">ROUND(IF(F6=0,0,F6*E6),2)</f>
        <v>0</v>
      </c>
      <c r="H6" s="14" t="str">
        <f t="shared" ref="H6:H8" si="1">IF(F6=0,"Preis eintragen","")</f>
        <v>Preis eintragen</v>
      </c>
    </row>
    <row r="7" spans="1:8" ht="15" customHeight="1" x14ac:dyDescent="0.15">
      <c r="A7" s="46">
        <v>3</v>
      </c>
      <c r="B7" s="47" t="s">
        <v>203</v>
      </c>
      <c r="C7" s="36" t="s">
        <v>557</v>
      </c>
      <c r="D7" s="53" t="s">
        <v>584</v>
      </c>
      <c r="E7" s="126"/>
      <c r="F7" s="110"/>
      <c r="G7" s="49">
        <f t="shared" si="0"/>
        <v>0</v>
      </c>
      <c r="H7" s="14" t="str">
        <f t="shared" si="1"/>
        <v>Preis eintragen</v>
      </c>
    </row>
    <row r="8" spans="1:8" ht="12.75" customHeight="1" x14ac:dyDescent="0.15">
      <c r="A8" s="215">
        <v>4</v>
      </c>
      <c r="B8" s="217" t="s">
        <v>203</v>
      </c>
      <c r="C8" s="217" t="s">
        <v>585</v>
      </c>
      <c r="D8" s="215" t="s">
        <v>583</v>
      </c>
      <c r="E8" s="221"/>
      <c r="F8" s="223"/>
      <c r="G8" s="219">
        <f t="shared" si="0"/>
        <v>0</v>
      </c>
      <c r="H8" s="214" t="str">
        <f t="shared" si="1"/>
        <v>Preis eintragen</v>
      </c>
    </row>
    <row r="9" spans="1:8" ht="10.5" x14ac:dyDescent="0.15">
      <c r="A9" s="216"/>
      <c r="B9" s="218"/>
      <c r="C9" s="218"/>
      <c r="D9" s="216"/>
      <c r="E9" s="222"/>
      <c r="F9" s="224"/>
      <c r="G9" s="220"/>
      <c r="H9" s="214"/>
    </row>
    <row r="10" spans="1:8" ht="10.5" x14ac:dyDescent="0.15">
      <c r="A10" s="14"/>
      <c r="B10" s="14"/>
      <c r="C10" s="14"/>
      <c r="D10" s="14"/>
      <c r="E10" s="14"/>
      <c r="F10" s="14"/>
      <c r="G10" s="14"/>
      <c r="H10" s="14"/>
    </row>
    <row r="11" spans="1:8" ht="10.5" x14ac:dyDescent="0.15">
      <c r="A11" s="14"/>
      <c r="B11" s="14"/>
      <c r="C11" s="14"/>
      <c r="D11" s="14"/>
      <c r="E11" s="14"/>
      <c r="F11" s="14"/>
      <c r="G11" s="14"/>
      <c r="H11" s="14"/>
    </row>
    <row r="12" spans="1:8" ht="10.5" x14ac:dyDescent="0.15">
      <c r="A12" s="14"/>
      <c r="B12" s="14"/>
      <c r="C12" s="14"/>
      <c r="D12" s="14"/>
      <c r="E12" s="14"/>
      <c r="F12" s="14"/>
      <c r="G12" s="14"/>
      <c r="H12" s="14"/>
    </row>
    <row r="13" spans="1:8" ht="10.5" x14ac:dyDescent="0.15">
      <c r="A13" s="14"/>
      <c r="B13" s="14"/>
      <c r="C13" s="14"/>
      <c r="D13" s="14"/>
      <c r="E13" s="14"/>
      <c r="F13" s="14"/>
      <c r="G13" s="14"/>
      <c r="H13" s="14"/>
    </row>
    <row r="14" spans="1:8" ht="10.5" x14ac:dyDescent="0.15">
      <c r="A14" s="14"/>
      <c r="B14" s="14"/>
      <c r="C14" s="14"/>
      <c r="D14" s="14"/>
      <c r="E14" s="14"/>
      <c r="F14" s="14"/>
      <c r="G14" s="14"/>
      <c r="H14" s="14"/>
    </row>
    <row r="15" spans="1:8" ht="10.5" x14ac:dyDescent="0.15">
      <c r="A15" s="14"/>
      <c r="B15" s="14"/>
      <c r="C15" s="14"/>
      <c r="D15" s="14"/>
      <c r="E15" s="14"/>
      <c r="F15" s="14"/>
      <c r="G15" s="14"/>
      <c r="H15" s="14"/>
    </row>
    <row r="16" spans="1:8" ht="10.5" x14ac:dyDescent="0.15">
      <c r="A16" s="14"/>
      <c r="B16" s="14"/>
      <c r="C16" s="14"/>
      <c r="D16" s="14"/>
      <c r="E16" s="14"/>
      <c r="F16" s="14"/>
      <c r="G16" s="14"/>
      <c r="H16" s="14"/>
    </row>
    <row r="17" spans="1:8" ht="10.5" x14ac:dyDescent="0.15">
      <c r="A17" s="14"/>
      <c r="B17" s="14"/>
      <c r="C17" s="14"/>
      <c r="D17" s="14"/>
      <c r="E17" s="14"/>
      <c r="F17" s="14"/>
      <c r="G17" s="14"/>
      <c r="H17" s="14"/>
    </row>
    <row r="18" spans="1:8" ht="10.5" x14ac:dyDescent="0.15">
      <c r="A18" s="14"/>
      <c r="B18" s="14"/>
      <c r="C18" s="14"/>
      <c r="D18" s="14"/>
      <c r="E18" s="14"/>
      <c r="F18" s="14"/>
      <c r="G18" s="14"/>
      <c r="H18" s="14"/>
    </row>
    <row r="19" spans="1:8" ht="10.5" x14ac:dyDescent="0.15">
      <c r="A19" s="14"/>
      <c r="B19" s="14"/>
      <c r="C19" s="14"/>
      <c r="D19" s="14"/>
      <c r="E19" s="14"/>
      <c r="F19" s="14"/>
      <c r="G19" s="14"/>
      <c r="H19" s="14"/>
    </row>
    <row r="20" spans="1:8" ht="10.5" x14ac:dyDescent="0.15">
      <c r="A20" s="14"/>
      <c r="B20" s="14"/>
      <c r="C20" s="14"/>
      <c r="D20" s="14"/>
      <c r="E20" s="14"/>
      <c r="F20" s="14"/>
      <c r="G20" s="14"/>
      <c r="H20" s="14"/>
    </row>
    <row r="21" spans="1:8" ht="10.5" x14ac:dyDescent="0.15">
      <c r="A21" s="14"/>
      <c r="B21" s="14"/>
      <c r="C21" s="14"/>
      <c r="D21" s="14"/>
      <c r="E21" s="14"/>
      <c r="F21" s="14"/>
      <c r="G21" s="14"/>
      <c r="H21" s="14"/>
    </row>
    <row r="22" spans="1:8" ht="10.5" x14ac:dyDescent="0.15">
      <c r="A22" s="14"/>
      <c r="B22" s="14"/>
      <c r="C22" s="14"/>
      <c r="D22" s="14"/>
      <c r="E22" s="14"/>
      <c r="F22" s="14"/>
      <c r="G22" s="14"/>
      <c r="H22" s="14"/>
    </row>
    <row r="23" spans="1:8" ht="10.5" x14ac:dyDescent="0.15">
      <c r="A23" s="14"/>
      <c r="B23" s="14"/>
      <c r="C23" s="14"/>
      <c r="D23" s="14"/>
      <c r="E23" s="14"/>
      <c r="F23" s="14"/>
      <c r="G23" s="14"/>
      <c r="H23" s="14"/>
    </row>
    <row r="24" spans="1:8" ht="10.5" x14ac:dyDescent="0.15">
      <c r="A24" s="14"/>
      <c r="B24" s="14"/>
      <c r="C24" s="14"/>
      <c r="D24" s="14"/>
      <c r="E24" s="14"/>
      <c r="F24" s="14"/>
      <c r="G24" s="14"/>
      <c r="H24" s="14"/>
    </row>
    <row r="25" spans="1:8" ht="10.5" x14ac:dyDescent="0.15">
      <c r="A25" s="14"/>
      <c r="B25" s="14"/>
      <c r="C25" s="14"/>
      <c r="D25" s="14"/>
      <c r="E25" s="14"/>
      <c r="F25" s="14"/>
      <c r="G25" s="14"/>
      <c r="H25" s="14"/>
    </row>
    <row r="26" spans="1:8" ht="10.5" x14ac:dyDescent="0.15">
      <c r="A26" s="14"/>
      <c r="B26" s="14"/>
      <c r="C26" s="14"/>
      <c r="D26" s="14"/>
      <c r="E26" s="14"/>
      <c r="F26" s="14"/>
      <c r="G26" s="14"/>
      <c r="H26" s="14"/>
    </row>
    <row r="27" spans="1:8" ht="10.5" x14ac:dyDescent="0.15">
      <c r="A27" s="14"/>
      <c r="B27" s="14"/>
      <c r="C27" s="14"/>
      <c r="D27" s="14"/>
      <c r="E27" s="14"/>
      <c r="F27" s="14"/>
      <c r="G27" s="14"/>
      <c r="H27" s="14"/>
    </row>
    <row r="28" spans="1:8" ht="10.5" x14ac:dyDescent="0.15">
      <c r="A28" s="14"/>
      <c r="B28" s="14"/>
      <c r="C28" s="14"/>
      <c r="D28" s="14"/>
      <c r="E28" s="14"/>
      <c r="F28" s="14"/>
      <c r="G28" s="14"/>
      <c r="H28" s="14"/>
    </row>
    <row r="29" spans="1:8" ht="10.5" x14ac:dyDescent="0.15">
      <c r="A29" s="14"/>
      <c r="B29" s="14"/>
      <c r="C29" s="14"/>
      <c r="D29" s="14"/>
      <c r="E29" s="14"/>
      <c r="F29" s="14"/>
      <c r="G29" s="14"/>
      <c r="H29" s="14"/>
    </row>
    <row r="30" spans="1:8" ht="10.5" x14ac:dyDescent="0.15">
      <c r="A30" s="14"/>
      <c r="B30" s="14"/>
      <c r="C30" s="14"/>
      <c r="D30" s="14"/>
      <c r="E30" s="14"/>
      <c r="F30" s="14"/>
      <c r="G30" s="14"/>
      <c r="H30" s="14"/>
    </row>
    <row r="31" spans="1:8" ht="10.5" x14ac:dyDescent="0.15">
      <c r="A31" s="14"/>
      <c r="B31" s="14"/>
      <c r="C31" s="14"/>
      <c r="D31" s="14"/>
      <c r="E31" s="14"/>
      <c r="F31" s="14"/>
      <c r="G31" s="14"/>
      <c r="H31" s="14"/>
    </row>
    <row r="32" spans="1:8" ht="10.5" x14ac:dyDescent="0.15">
      <c r="A32" s="14"/>
      <c r="B32" s="14"/>
      <c r="C32" s="14"/>
      <c r="D32" s="14"/>
      <c r="E32" s="14"/>
      <c r="F32" s="14"/>
      <c r="G32" s="14"/>
      <c r="H32" s="14"/>
    </row>
    <row r="33" spans="1:8" ht="10.5" x14ac:dyDescent="0.15">
      <c r="A33" s="14"/>
      <c r="B33" s="14"/>
      <c r="C33" s="14"/>
      <c r="D33" s="14"/>
      <c r="E33" s="14"/>
      <c r="F33" s="14"/>
      <c r="G33" s="14"/>
      <c r="H33" s="14"/>
    </row>
    <row r="34" spans="1:8" ht="10.5" x14ac:dyDescent="0.15">
      <c r="A34" s="14"/>
      <c r="B34" s="14"/>
      <c r="C34" s="14"/>
      <c r="D34" s="14"/>
      <c r="E34" s="14"/>
      <c r="F34" s="14"/>
      <c r="G34" s="14"/>
      <c r="H34" s="14"/>
    </row>
    <row r="35" spans="1:8" ht="10.5" x14ac:dyDescent="0.15">
      <c r="A35" s="14"/>
      <c r="B35" s="14"/>
      <c r="C35" s="14"/>
      <c r="D35" s="14"/>
      <c r="E35" s="14"/>
      <c r="F35" s="14"/>
      <c r="G35" s="14"/>
      <c r="H35" s="14"/>
    </row>
    <row r="36" spans="1:8" ht="10.5" x14ac:dyDescent="0.15">
      <c r="A36" s="14"/>
      <c r="B36" s="14"/>
      <c r="C36" s="14"/>
      <c r="D36" s="14"/>
      <c r="E36" s="14"/>
      <c r="F36" s="14"/>
      <c r="G36" s="14"/>
      <c r="H36" s="14"/>
    </row>
    <row r="37" spans="1:8" ht="10.5" x14ac:dyDescent="0.15">
      <c r="A37" s="14"/>
      <c r="B37" s="14"/>
      <c r="C37" s="14"/>
      <c r="D37" s="14"/>
      <c r="E37" s="14"/>
      <c r="F37" s="14"/>
      <c r="G37" s="14"/>
      <c r="H37" s="14"/>
    </row>
    <row r="38" spans="1:8" ht="10.5" x14ac:dyDescent="0.15">
      <c r="A38" s="14"/>
      <c r="B38" s="14"/>
      <c r="C38" s="14"/>
      <c r="D38" s="14"/>
      <c r="E38" s="14"/>
      <c r="F38" s="14"/>
      <c r="G38" s="14"/>
      <c r="H38" s="14"/>
    </row>
    <row r="39" spans="1:8" ht="10.5" x14ac:dyDescent="0.15">
      <c r="A39" s="14"/>
      <c r="B39" s="14"/>
      <c r="C39" s="14"/>
      <c r="D39" s="14"/>
      <c r="E39" s="14"/>
      <c r="F39" s="14"/>
      <c r="G39" s="14"/>
      <c r="H39" s="14"/>
    </row>
    <row r="40" spans="1:8" ht="10.5" x14ac:dyDescent="0.15">
      <c r="A40" s="14"/>
      <c r="B40" s="14"/>
      <c r="C40" s="14"/>
      <c r="D40" s="14"/>
      <c r="E40" s="14"/>
      <c r="F40" s="14"/>
      <c r="G40" s="14"/>
      <c r="H40" s="14"/>
    </row>
    <row r="41" spans="1:8" ht="10.5" x14ac:dyDescent="0.15">
      <c r="A41" s="14"/>
      <c r="B41" s="14"/>
      <c r="C41" s="14"/>
      <c r="D41" s="14"/>
      <c r="E41" s="14"/>
      <c r="F41" s="14"/>
      <c r="G41" s="14"/>
      <c r="H41" s="14"/>
    </row>
    <row r="42" spans="1:8" ht="10.5" x14ac:dyDescent="0.15">
      <c r="A42" s="14"/>
      <c r="B42" s="14"/>
      <c r="C42" s="14"/>
      <c r="D42" s="14"/>
      <c r="E42" s="14"/>
      <c r="F42" s="14"/>
      <c r="G42" s="14"/>
      <c r="H42" s="14"/>
    </row>
    <row r="43" spans="1:8" ht="10.5" x14ac:dyDescent="0.15">
      <c r="A43" s="14"/>
      <c r="B43" s="14"/>
      <c r="C43" s="14"/>
      <c r="D43" s="14"/>
      <c r="E43" s="14"/>
      <c r="F43" s="14"/>
      <c r="G43" s="14"/>
      <c r="H43" s="14"/>
    </row>
    <row r="44" spans="1:8" ht="10.5" x14ac:dyDescent="0.15">
      <c r="A44" s="14"/>
      <c r="B44" s="14"/>
      <c r="C44" s="14"/>
      <c r="D44" s="14"/>
      <c r="E44" s="14"/>
      <c r="F44" s="14"/>
      <c r="G44" s="14"/>
      <c r="H44" s="14"/>
    </row>
    <row r="45" spans="1:8" ht="10.5" x14ac:dyDescent="0.15">
      <c r="A45" s="14"/>
      <c r="B45" s="14"/>
      <c r="C45" s="14"/>
      <c r="D45" s="14"/>
      <c r="E45" s="14"/>
      <c r="F45" s="14"/>
      <c r="G45" s="14"/>
      <c r="H45" s="14"/>
    </row>
  </sheetData>
  <mergeCells count="9">
    <mergeCell ref="H8:H9"/>
    <mergeCell ref="D2:G3"/>
    <mergeCell ref="A8:A9"/>
    <mergeCell ref="B8:B9"/>
    <mergeCell ref="C8:C9"/>
    <mergeCell ref="D8:D9"/>
    <mergeCell ref="G8:G9"/>
    <mergeCell ref="E8:E9"/>
    <mergeCell ref="F8:F9"/>
  </mergeCells>
  <phoneticPr fontId="3" type="noConversion"/>
  <conditionalFormatting sqref="H5:H8">
    <cfRule type="containsText" dxfId="0" priority="1" stopIfTrue="1" operator="containsText" text="Preis eintragen">
      <formula>NOT(ISERROR(SEARCH("Preis eintragen",H5)))</formula>
    </cfRule>
  </conditionalFormatting>
  <hyperlinks>
    <hyperlink ref="F1" location="Inhaltsverzeichnis!A1" display="Zurück zum Inhaltsverzeichnis" xr:uid="{00000000-0004-0000-1500-000000000000}"/>
  </hyperlinks>
  <printOptions horizontalCentered="1"/>
  <pageMargins left="0.78740157480314965" right="0.78740157480314965" top="0.98425196850393704" bottom="0.98425196850393704" header="0.51181102362204722" footer="0.51181102362204722"/>
  <pageSetup paperSize="9" scale="95" orientation="landscape" r:id="rId1"/>
  <headerFooter alignWithMargins="0">
    <oddFooter>&amp;RKal Verbrauch Gesamt&amp;LAmt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40" r:id="rId4" name="Check Box 4">
              <controlPr defaultSize="0" autoFill="0" autoLine="0" autoPict="0" altText="Hinweis">
                <anchor moveWithCells="1">
                  <from>
                    <xdr:col>2</xdr:col>
                    <xdr:colOff>952500</xdr:colOff>
                    <xdr:row>1</xdr:row>
                    <xdr:rowOff>47625</xdr:rowOff>
                  </from>
                  <to>
                    <xdr:col>2</xdr:col>
                    <xdr:colOff>1733550</xdr:colOff>
                    <xdr:row>1</xdr:row>
                    <xdr:rowOff>295275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9">
    <tabColor indexed="16"/>
  </sheetPr>
  <dimension ref="A1:S31"/>
  <sheetViews>
    <sheetView showGridLines="0" topLeftCell="A10" zoomScaleNormal="100" workbookViewId="0">
      <selection activeCell="U6" sqref="U6"/>
    </sheetView>
  </sheetViews>
  <sheetFormatPr baseColWidth="10" defaultColWidth="6.42578125" defaultRowHeight="10.5" x14ac:dyDescent="0.15"/>
  <cols>
    <col min="1" max="1" width="22.42578125" style="7" customWidth="1"/>
    <col min="2" max="2" width="13.7109375" style="16" customWidth="1"/>
    <col min="3" max="3" width="13.7109375" style="16" hidden="1" customWidth="1"/>
    <col min="4" max="7" width="13.7109375" style="16" customWidth="1"/>
    <col min="8" max="8" width="13.7109375" style="16" hidden="1" customWidth="1"/>
    <col min="9" max="18" width="13.7109375" style="16" customWidth="1"/>
    <col min="19" max="19" width="13.7109375" style="16" hidden="1" customWidth="1"/>
    <col min="20" max="52" width="13.7109375" style="7" customWidth="1"/>
    <col min="53" max="16384" width="6.42578125" style="7"/>
  </cols>
  <sheetData>
    <row r="1" spans="1:19" s="4" customFormat="1" ht="35.450000000000003" customHeight="1" x14ac:dyDescent="0.2">
      <c r="A1" s="132" t="s">
        <v>185</v>
      </c>
      <c r="B1" s="133"/>
      <c r="C1" s="121"/>
      <c r="D1" s="108" t="b">
        <v>0</v>
      </c>
      <c r="E1" s="150" t="str">
        <f>IF(D1=TRUE,"Hier muss nichts ausgefüllt werden. Sie sehen hier die Reinigungsarten mit den maximalen Reinigungstagen. Mehrere Tabellen greifen hierauf zu.","")</f>
        <v/>
      </c>
      <c r="F1" s="150"/>
      <c r="G1" s="150"/>
      <c r="H1" s="150"/>
      <c r="I1" s="38" t="s">
        <v>100</v>
      </c>
      <c r="J1" s="16"/>
      <c r="K1" s="16"/>
      <c r="L1" s="16"/>
      <c r="M1" s="16"/>
      <c r="N1" s="16"/>
      <c r="O1" s="16"/>
      <c r="P1" s="16"/>
      <c r="Q1" s="16"/>
      <c r="R1" s="16"/>
      <c r="S1" s="16"/>
    </row>
    <row r="2" spans="1:19" s="4" customFormat="1" ht="26.45" customHeight="1" x14ac:dyDescent="0.2">
      <c r="A2" s="4" t="s">
        <v>103</v>
      </c>
      <c r="B2" s="5" t="str">
        <f>IF(Inhaltsverzeichnis!$C$3="","",Inhaltsverzeichnis!$C$3)</f>
        <v/>
      </c>
      <c r="C2" s="16"/>
      <c r="D2" s="16"/>
      <c r="E2" s="150"/>
      <c r="F2" s="150"/>
      <c r="G2" s="150"/>
      <c r="H2" s="150"/>
      <c r="I2" s="16"/>
      <c r="J2" s="16"/>
      <c r="K2" s="16"/>
      <c r="L2" s="16"/>
      <c r="M2" s="16"/>
      <c r="N2" s="16"/>
      <c r="O2" s="16"/>
      <c r="P2" s="16"/>
      <c r="Q2" s="16"/>
      <c r="R2" s="16"/>
      <c r="S2" s="16"/>
    </row>
    <row r="3" spans="1:19" s="4" customFormat="1" ht="15" customHeight="1" x14ac:dyDescent="0.2">
      <c r="B3" s="16"/>
      <c r="C3" s="16"/>
      <c r="D3" s="16"/>
      <c r="E3" s="54"/>
      <c r="F3" s="54"/>
      <c r="G3" s="16"/>
      <c r="H3" s="16"/>
      <c r="I3" s="16"/>
      <c r="J3" s="16"/>
      <c r="K3" s="16"/>
      <c r="L3" s="16"/>
      <c r="M3" s="16"/>
      <c r="N3" s="16"/>
      <c r="O3" s="16"/>
      <c r="P3" s="16"/>
      <c r="Q3" s="16"/>
      <c r="R3" s="16"/>
      <c r="S3" s="16"/>
    </row>
    <row r="4" spans="1:19" ht="25.5" customHeight="1" x14ac:dyDescent="0.15">
      <c r="A4" s="1" t="s">
        <v>113</v>
      </c>
      <c r="B4" s="1" t="s">
        <v>203</v>
      </c>
      <c r="C4" s="122" t="s">
        <v>210</v>
      </c>
      <c r="D4" s="1" t="s">
        <v>211</v>
      </c>
      <c r="E4" s="1" t="s">
        <v>213</v>
      </c>
      <c r="F4" s="1" t="s">
        <v>214</v>
      </c>
      <c r="G4" s="1" t="s">
        <v>216</v>
      </c>
      <c r="H4" s="122" t="s">
        <v>218</v>
      </c>
      <c r="I4" s="1" t="s">
        <v>203</v>
      </c>
      <c r="J4" s="1" t="s">
        <v>587</v>
      </c>
      <c r="K4" s="1" t="s">
        <v>211</v>
      </c>
      <c r="L4" s="1" t="s">
        <v>213</v>
      </c>
      <c r="M4" s="1" t="s">
        <v>214</v>
      </c>
      <c r="N4" s="1" t="s">
        <v>216</v>
      </c>
      <c r="O4" s="1" t="s">
        <v>220</v>
      </c>
      <c r="P4" s="1" t="s">
        <v>218</v>
      </c>
      <c r="Q4" s="1" t="s">
        <v>211</v>
      </c>
      <c r="R4" s="1" t="s">
        <v>203</v>
      </c>
      <c r="S4" s="122" t="s">
        <v>218</v>
      </c>
    </row>
    <row r="5" spans="1:19" ht="25.5" customHeight="1" x14ac:dyDescent="0.15">
      <c r="A5" s="1" t="s">
        <v>146</v>
      </c>
      <c r="B5" s="1" t="s">
        <v>275</v>
      </c>
      <c r="C5" s="122" t="s">
        <v>275</v>
      </c>
      <c r="D5" s="1" t="s">
        <v>275</v>
      </c>
      <c r="E5" s="1" t="s">
        <v>275</v>
      </c>
      <c r="F5" s="1" t="s">
        <v>275</v>
      </c>
      <c r="G5" s="1" t="s">
        <v>275</v>
      </c>
      <c r="H5" s="122" t="s">
        <v>275</v>
      </c>
      <c r="I5" s="1" t="s">
        <v>275</v>
      </c>
      <c r="J5" s="1" t="s">
        <v>275</v>
      </c>
      <c r="K5" s="1" t="s">
        <v>275</v>
      </c>
      <c r="L5" s="1" t="s">
        <v>275</v>
      </c>
      <c r="M5" s="1" t="s">
        <v>275</v>
      </c>
      <c r="N5" s="1" t="s">
        <v>275</v>
      </c>
      <c r="O5" s="1" t="s">
        <v>275</v>
      </c>
      <c r="P5" s="1" t="s">
        <v>275</v>
      </c>
      <c r="Q5" s="1" t="s">
        <v>275</v>
      </c>
      <c r="R5" s="1" t="s">
        <v>275</v>
      </c>
      <c r="S5" s="122" t="s">
        <v>275</v>
      </c>
    </row>
    <row r="6" spans="1:19" ht="25.5" customHeight="1" x14ac:dyDescent="0.15">
      <c r="A6" s="1" t="s">
        <v>116</v>
      </c>
      <c r="B6" s="2" t="s">
        <v>558</v>
      </c>
      <c r="C6" s="117" t="s">
        <v>558</v>
      </c>
      <c r="D6" s="2" t="s">
        <v>558</v>
      </c>
      <c r="E6" s="2" t="s">
        <v>558</v>
      </c>
      <c r="F6" s="2" t="s">
        <v>558</v>
      </c>
      <c r="G6" s="2" t="s">
        <v>558</v>
      </c>
      <c r="H6" s="117" t="s">
        <v>558</v>
      </c>
      <c r="I6" s="2" t="s">
        <v>560</v>
      </c>
      <c r="J6" s="127" t="s">
        <v>560</v>
      </c>
      <c r="K6" s="2" t="s">
        <v>560</v>
      </c>
      <c r="L6" s="2" t="s">
        <v>560</v>
      </c>
      <c r="M6" s="2" t="s">
        <v>560</v>
      </c>
      <c r="N6" s="2" t="s">
        <v>560</v>
      </c>
      <c r="O6" s="2" t="s">
        <v>560</v>
      </c>
      <c r="P6" s="127" t="s">
        <v>560</v>
      </c>
      <c r="Q6" s="2" t="s">
        <v>561</v>
      </c>
      <c r="R6" s="2" t="s">
        <v>562</v>
      </c>
      <c r="S6" s="117" t="s">
        <v>562</v>
      </c>
    </row>
    <row r="7" spans="1:19" ht="35.1" customHeight="1" x14ac:dyDescent="0.15">
      <c r="A7" s="2" t="s">
        <v>198</v>
      </c>
      <c r="B7" s="100">
        <v>186.75</v>
      </c>
      <c r="C7" s="123">
        <v>234</v>
      </c>
      <c r="D7" s="100">
        <v>186.75</v>
      </c>
      <c r="E7" s="100">
        <v>234</v>
      </c>
      <c r="F7" s="100">
        <v>186.75</v>
      </c>
      <c r="G7" s="100">
        <v>186.75</v>
      </c>
      <c r="H7" s="123">
        <v>186.75</v>
      </c>
      <c r="I7" s="100">
        <v>1</v>
      </c>
      <c r="J7" s="135">
        <v>1</v>
      </c>
      <c r="K7" s="100">
        <v>1</v>
      </c>
      <c r="L7" s="100">
        <v>1</v>
      </c>
      <c r="M7" s="100">
        <v>1</v>
      </c>
      <c r="N7" s="100">
        <v>1</v>
      </c>
      <c r="O7" s="100">
        <v>1</v>
      </c>
      <c r="P7" s="135">
        <v>1</v>
      </c>
      <c r="Q7" s="100">
        <v>1</v>
      </c>
      <c r="R7" s="100">
        <v>186.75</v>
      </c>
      <c r="S7" s="123">
        <v>186.75</v>
      </c>
    </row>
    <row r="8" spans="1:19" ht="6" customHeight="1" x14ac:dyDescent="0.15">
      <c r="A8" s="101"/>
      <c r="B8" s="51"/>
      <c r="C8" s="122"/>
      <c r="D8" s="51"/>
      <c r="E8" s="51"/>
      <c r="F8" s="51"/>
      <c r="G8" s="51"/>
      <c r="H8" s="122"/>
      <c r="I8" s="51"/>
      <c r="J8" s="134"/>
      <c r="K8" s="51"/>
      <c r="L8" s="51"/>
      <c r="M8" s="51"/>
      <c r="N8" s="51"/>
      <c r="O8" s="51"/>
      <c r="P8" s="134"/>
      <c r="Q8" s="51"/>
      <c r="R8" s="51"/>
      <c r="S8" s="122"/>
    </row>
    <row r="9" spans="1:19" ht="25.5" customHeight="1" x14ac:dyDescent="0.15">
      <c r="A9" s="1" t="s">
        <v>199</v>
      </c>
      <c r="B9" s="2" t="s">
        <v>559</v>
      </c>
      <c r="C9" s="117" t="s">
        <v>559</v>
      </c>
      <c r="D9" s="2" t="s">
        <v>559</v>
      </c>
      <c r="E9" s="2" t="s">
        <v>559</v>
      </c>
      <c r="F9" s="2" t="s">
        <v>559</v>
      </c>
      <c r="G9" s="2" t="s">
        <v>559</v>
      </c>
      <c r="H9" s="117" t="s">
        <v>559</v>
      </c>
      <c r="I9" s="2" t="s">
        <v>559</v>
      </c>
      <c r="J9" s="127" t="s">
        <v>559</v>
      </c>
      <c r="K9" s="2" t="s">
        <v>559</v>
      </c>
      <c r="L9" s="2" t="s">
        <v>559</v>
      </c>
      <c r="M9" s="2" t="s">
        <v>559</v>
      </c>
      <c r="N9" s="2" t="s">
        <v>559</v>
      </c>
      <c r="O9" s="2" t="s">
        <v>559</v>
      </c>
      <c r="P9" s="127" t="s">
        <v>559</v>
      </c>
      <c r="Q9" s="2" t="s">
        <v>559</v>
      </c>
      <c r="R9" s="2" t="s">
        <v>559</v>
      </c>
      <c r="S9" s="117" t="s">
        <v>559</v>
      </c>
    </row>
    <row r="10" spans="1:19" ht="15" customHeight="1" x14ac:dyDescent="0.15">
      <c r="A10" s="102">
        <v>12</v>
      </c>
      <c r="B10" s="103">
        <f t="shared" ref="B10:B17" si="0">ROUND($B$7/5*A10,2)</f>
        <v>448.2</v>
      </c>
      <c r="C10" s="124">
        <f t="shared" ref="C10:C17" si="1">ROUND($C$7/5*A10,2)</f>
        <v>561.6</v>
      </c>
      <c r="D10" s="103">
        <f t="shared" ref="D10:D17" si="2">ROUND($D$7/5*A10,2)</f>
        <v>448.2</v>
      </c>
      <c r="E10" s="103">
        <f t="shared" ref="E10:E17" si="3">ROUND($E$7/5*A10,2)</f>
        <v>561.6</v>
      </c>
      <c r="F10" s="103">
        <f t="shared" ref="F10:F17" si="4">ROUND($F$7/5*A10,2)</f>
        <v>448.2</v>
      </c>
      <c r="G10" s="103">
        <f t="shared" ref="G10:G17" si="5">ROUND($G$7/5*A10,2)</f>
        <v>448.2</v>
      </c>
      <c r="H10" s="124">
        <f t="shared" ref="H10:H17" si="6">ROUND($H$7/5*A10,2)</f>
        <v>448.2</v>
      </c>
      <c r="I10" s="104"/>
      <c r="J10" s="104"/>
      <c r="K10" s="104"/>
      <c r="L10" s="104"/>
      <c r="M10" s="104"/>
      <c r="N10" s="104"/>
      <c r="O10" s="104"/>
      <c r="P10" s="104"/>
      <c r="Q10" s="103">
        <f t="shared" ref="Q10:Q17" si="7">ROUND($Q$7/5*A10,2)</f>
        <v>2.4</v>
      </c>
      <c r="R10" s="103">
        <f t="shared" ref="R10:R17" si="8">ROUND($R$7/5*A10,2)</f>
        <v>448.2</v>
      </c>
      <c r="S10" s="124">
        <f t="shared" ref="S10:S17" si="9">ROUND($S$7/5*A10,2)</f>
        <v>448.2</v>
      </c>
    </row>
    <row r="11" spans="1:19" ht="15" customHeight="1" x14ac:dyDescent="0.15">
      <c r="A11" s="102">
        <v>10</v>
      </c>
      <c r="B11" s="103">
        <f t="shared" si="0"/>
        <v>373.5</v>
      </c>
      <c r="C11" s="124">
        <f t="shared" si="1"/>
        <v>468</v>
      </c>
      <c r="D11" s="103">
        <f t="shared" si="2"/>
        <v>373.5</v>
      </c>
      <c r="E11" s="103">
        <f t="shared" si="3"/>
        <v>468</v>
      </c>
      <c r="F11" s="103">
        <f t="shared" si="4"/>
        <v>373.5</v>
      </c>
      <c r="G11" s="103">
        <f t="shared" si="5"/>
        <v>373.5</v>
      </c>
      <c r="H11" s="124">
        <f t="shared" si="6"/>
        <v>373.5</v>
      </c>
      <c r="I11" s="104"/>
      <c r="J11" s="104"/>
      <c r="K11" s="104"/>
      <c r="L11" s="104"/>
      <c r="M11" s="104"/>
      <c r="N11" s="104"/>
      <c r="O11" s="104"/>
      <c r="P11" s="104"/>
      <c r="Q11" s="103">
        <f t="shared" si="7"/>
        <v>2</v>
      </c>
      <c r="R11" s="103">
        <f t="shared" si="8"/>
        <v>373.5</v>
      </c>
      <c r="S11" s="124">
        <f t="shared" si="9"/>
        <v>373.5</v>
      </c>
    </row>
    <row r="12" spans="1:19" ht="15" customHeight="1" x14ac:dyDescent="0.15">
      <c r="A12" s="102">
        <v>7</v>
      </c>
      <c r="B12" s="103">
        <f t="shared" si="0"/>
        <v>261.45</v>
      </c>
      <c r="C12" s="124">
        <f t="shared" si="1"/>
        <v>327.60000000000002</v>
      </c>
      <c r="D12" s="103">
        <f t="shared" si="2"/>
        <v>261.45</v>
      </c>
      <c r="E12" s="103">
        <f t="shared" si="3"/>
        <v>327.60000000000002</v>
      </c>
      <c r="F12" s="103">
        <f t="shared" si="4"/>
        <v>261.45</v>
      </c>
      <c r="G12" s="103">
        <f t="shared" si="5"/>
        <v>261.45</v>
      </c>
      <c r="H12" s="124">
        <f t="shared" si="6"/>
        <v>261.45</v>
      </c>
      <c r="I12" s="104"/>
      <c r="J12" s="104"/>
      <c r="K12" s="104"/>
      <c r="L12" s="104"/>
      <c r="M12" s="104"/>
      <c r="N12" s="104"/>
      <c r="O12" s="104"/>
      <c r="P12" s="104"/>
      <c r="Q12" s="103">
        <f t="shared" si="7"/>
        <v>1.4</v>
      </c>
      <c r="R12" s="103">
        <f t="shared" si="8"/>
        <v>261.45</v>
      </c>
      <c r="S12" s="124">
        <f t="shared" si="9"/>
        <v>261.45</v>
      </c>
    </row>
    <row r="13" spans="1:19" ht="15" customHeight="1" x14ac:dyDescent="0.15">
      <c r="A13" s="102">
        <v>6</v>
      </c>
      <c r="B13" s="103">
        <f t="shared" si="0"/>
        <v>224.1</v>
      </c>
      <c r="C13" s="124">
        <f t="shared" si="1"/>
        <v>280.8</v>
      </c>
      <c r="D13" s="103">
        <f t="shared" si="2"/>
        <v>224.1</v>
      </c>
      <c r="E13" s="103">
        <f t="shared" si="3"/>
        <v>280.8</v>
      </c>
      <c r="F13" s="103">
        <f t="shared" si="4"/>
        <v>224.1</v>
      </c>
      <c r="G13" s="103">
        <f t="shared" si="5"/>
        <v>224.1</v>
      </c>
      <c r="H13" s="124">
        <f t="shared" si="6"/>
        <v>224.1</v>
      </c>
      <c r="I13" s="104"/>
      <c r="J13" s="104"/>
      <c r="K13" s="104"/>
      <c r="L13" s="104"/>
      <c r="M13" s="104"/>
      <c r="N13" s="104"/>
      <c r="O13" s="104"/>
      <c r="P13" s="104"/>
      <c r="Q13" s="103">
        <f t="shared" si="7"/>
        <v>1.2</v>
      </c>
      <c r="R13" s="103">
        <f t="shared" si="8"/>
        <v>224.1</v>
      </c>
      <c r="S13" s="124">
        <f t="shared" si="9"/>
        <v>224.1</v>
      </c>
    </row>
    <row r="14" spans="1:19" ht="15" customHeight="1" x14ac:dyDescent="0.15">
      <c r="A14" s="102">
        <v>5</v>
      </c>
      <c r="B14" s="100">
        <f t="shared" si="0"/>
        <v>186.75</v>
      </c>
      <c r="C14" s="123">
        <f t="shared" si="1"/>
        <v>234</v>
      </c>
      <c r="D14" s="100">
        <f t="shared" si="2"/>
        <v>186.75</v>
      </c>
      <c r="E14" s="100">
        <f t="shared" si="3"/>
        <v>234</v>
      </c>
      <c r="F14" s="100">
        <f t="shared" si="4"/>
        <v>186.75</v>
      </c>
      <c r="G14" s="100">
        <f t="shared" si="5"/>
        <v>186.75</v>
      </c>
      <c r="H14" s="123">
        <f t="shared" si="6"/>
        <v>186.75</v>
      </c>
      <c r="I14" s="104"/>
      <c r="J14" s="104"/>
      <c r="K14" s="104"/>
      <c r="L14" s="104"/>
      <c r="M14" s="104"/>
      <c r="N14" s="104"/>
      <c r="O14" s="104"/>
      <c r="P14" s="104"/>
      <c r="Q14" s="103">
        <f t="shared" si="7"/>
        <v>1</v>
      </c>
      <c r="R14" s="103">
        <f t="shared" si="8"/>
        <v>186.75</v>
      </c>
      <c r="S14" s="124">
        <f t="shared" si="9"/>
        <v>186.75</v>
      </c>
    </row>
    <row r="15" spans="1:19" ht="15" customHeight="1" x14ac:dyDescent="0.15">
      <c r="A15" s="102">
        <v>4</v>
      </c>
      <c r="B15" s="103">
        <f t="shared" si="0"/>
        <v>149.4</v>
      </c>
      <c r="C15" s="124">
        <f t="shared" si="1"/>
        <v>187.2</v>
      </c>
      <c r="D15" s="103">
        <f t="shared" si="2"/>
        <v>149.4</v>
      </c>
      <c r="E15" s="103">
        <f t="shared" si="3"/>
        <v>187.2</v>
      </c>
      <c r="F15" s="103">
        <f t="shared" si="4"/>
        <v>149.4</v>
      </c>
      <c r="G15" s="103">
        <f t="shared" si="5"/>
        <v>149.4</v>
      </c>
      <c r="H15" s="124">
        <f t="shared" si="6"/>
        <v>149.4</v>
      </c>
      <c r="I15" s="104"/>
      <c r="J15" s="104"/>
      <c r="K15" s="104"/>
      <c r="L15" s="104"/>
      <c r="M15" s="104"/>
      <c r="N15" s="104"/>
      <c r="O15" s="104"/>
      <c r="P15" s="104"/>
      <c r="Q15" s="103">
        <f t="shared" si="7"/>
        <v>0.8</v>
      </c>
      <c r="R15" s="103">
        <f t="shared" si="8"/>
        <v>149.4</v>
      </c>
      <c r="S15" s="124">
        <f t="shared" si="9"/>
        <v>149.4</v>
      </c>
    </row>
    <row r="16" spans="1:19" ht="15" customHeight="1" x14ac:dyDescent="0.15">
      <c r="A16" s="102">
        <v>3</v>
      </c>
      <c r="B16" s="100">
        <f t="shared" si="0"/>
        <v>112.05</v>
      </c>
      <c r="C16" s="124">
        <f t="shared" si="1"/>
        <v>140.4</v>
      </c>
      <c r="D16" s="100">
        <f t="shared" si="2"/>
        <v>112.05</v>
      </c>
      <c r="E16" s="103">
        <f t="shared" si="3"/>
        <v>140.4</v>
      </c>
      <c r="F16" s="100">
        <f t="shared" si="4"/>
        <v>112.05</v>
      </c>
      <c r="G16" s="103">
        <f t="shared" si="5"/>
        <v>112.05</v>
      </c>
      <c r="H16" s="123">
        <f t="shared" si="6"/>
        <v>112.05</v>
      </c>
      <c r="I16" s="104"/>
      <c r="J16" s="104"/>
      <c r="K16" s="104"/>
      <c r="L16" s="104"/>
      <c r="M16" s="104"/>
      <c r="N16" s="104"/>
      <c r="O16" s="104"/>
      <c r="P16" s="104"/>
      <c r="Q16" s="103">
        <f t="shared" si="7"/>
        <v>0.6</v>
      </c>
      <c r="R16" s="103">
        <f t="shared" si="8"/>
        <v>112.05</v>
      </c>
      <c r="S16" s="124">
        <f t="shared" si="9"/>
        <v>112.05</v>
      </c>
    </row>
    <row r="17" spans="1:19" ht="15" customHeight="1" x14ac:dyDescent="0.15">
      <c r="A17" s="102">
        <v>2.5</v>
      </c>
      <c r="B17" s="103">
        <f t="shared" si="0"/>
        <v>93.38</v>
      </c>
      <c r="C17" s="124">
        <f t="shared" si="1"/>
        <v>117</v>
      </c>
      <c r="D17" s="103">
        <f t="shared" si="2"/>
        <v>93.38</v>
      </c>
      <c r="E17" s="103">
        <f t="shared" si="3"/>
        <v>117</v>
      </c>
      <c r="F17" s="103">
        <f t="shared" si="4"/>
        <v>93.38</v>
      </c>
      <c r="G17" s="103">
        <f t="shared" si="5"/>
        <v>93.38</v>
      </c>
      <c r="H17" s="124">
        <f t="shared" si="6"/>
        <v>93.38</v>
      </c>
      <c r="I17" s="104"/>
      <c r="J17" s="104"/>
      <c r="K17" s="104"/>
      <c r="L17" s="104"/>
      <c r="M17" s="104"/>
      <c r="N17" s="104"/>
      <c r="O17" s="104"/>
      <c r="P17" s="104"/>
      <c r="Q17" s="103">
        <f t="shared" si="7"/>
        <v>0.5</v>
      </c>
      <c r="R17" s="103">
        <f t="shared" si="8"/>
        <v>93.38</v>
      </c>
      <c r="S17" s="124">
        <f t="shared" si="9"/>
        <v>93.38</v>
      </c>
    </row>
    <row r="18" spans="1:19" ht="15" customHeight="1" x14ac:dyDescent="0.15">
      <c r="A18" s="102">
        <v>2</v>
      </c>
      <c r="B18" s="100">
        <f t="shared" ref="B18:H18" si="10">ROUND(B7*104.29/251,2)</f>
        <v>77.59</v>
      </c>
      <c r="C18" s="123">
        <f t="shared" si="10"/>
        <v>97.23</v>
      </c>
      <c r="D18" s="100">
        <f t="shared" si="10"/>
        <v>77.59</v>
      </c>
      <c r="E18" s="103">
        <f t="shared" si="10"/>
        <v>97.23</v>
      </c>
      <c r="F18" s="100">
        <f t="shared" si="10"/>
        <v>77.59</v>
      </c>
      <c r="G18" s="100">
        <f t="shared" si="10"/>
        <v>77.59</v>
      </c>
      <c r="H18" s="124">
        <f t="shared" si="10"/>
        <v>77.59</v>
      </c>
      <c r="I18" s="104"/>
      <c r="J18" s="104"/>
      <c r="K18" s="104"/>
      <c r="L18" s="104"/>
      <c r="M18" s="104"/>
      <c r="N18" s="104"/>
      <c r="O18" s="104"/>
      <c r="P18" s="104"/>
      <c r="Q18" s="103">
        <f>ROUND(Q7*104.29/251,2)</f>
        <v>0.42</v>
      </c>
      <c r="R18" s="100">
        <f>ROUND(R7*104.29/251,2)</f>
        <v>77.59</v>
      </c>
      <c r="S18" s="123">
        <f>ROUND(S7*104.29/251,2)</f>
        <v>77.59</v>
      </c>
    </row>
    <row r="19" spans="1:19" ht="15" customHeight="1" x14ac:dyDescent="0.15">
      <c r="A19" s="102">
        <v>1</v>
      </c>
      <c r="B19" s="100">
        <f t="shared" ref="B19:H19" si="11">ROUND(B7*52.14/251,2)</f>
        <v>38.79</v>
      </c>
      <c r="C19" s="124">
        <f t="shared" si="11"/>
        <v>48.61</v>
      </c>
      <c r="D19" s="100">
        <f t="shared" si="11"/>
        <v>38.79</v>
      </c>
      <c r="E19" s="100">
        <f t="shared" si="11"/>
        <v>48.61</v>
      </c>
      <c r="F19" s="103">
        <f t="shared" si="11"/>
        <v>38.79</v>
      </c>
      <c r="G19" s="100">
        <f t="shared" si="11"/>
        <v>38.79</v>
      </c>
      <c r="H19" s="124">
        <f t="shared" si="11"/>
        <v>38.79</v>
      </c>
      <c r="I19" s="104"/>
      <c r="J19" s="104"/>
      <c r="K19" s="104"/>
      <c r="L19" s="104"/>
      <c r="M19" s="104"/>
      <c r="N19" s="104"/>
      <c r="O19" s="104"/>
      <c r="P19" s="104"/>
      <c r="Q19" s="103">
        <f>ROUND(Q7*52.14/251,2)</f>
        <v>0.21</v>
      </c>
      <c r="R19" s="103">
        <f>ROUND(R7*52.14/251,2)</f>
        <v>38.79</v>
      </c>
      <c r="S19" s="124">
        <f>ROUND(S7*52.14/251,2)</f>
        <v>38.79</v>
      </c>
    </row>
    <row r="20" spans="1:19" ht="15" customHeight="1" x14ac:dyDescent="0.15">
      <c r="A20" s="102">
        <v>0.5</v>
      </c>
      <c r="B20" s="103">
        <f t="shared" ref="B20:H20" si="12">ROUND(B7*26.07/251,2)</f>
        <v>19.399999999999999</v>
      </c>
      <c r="C20" s="124">
        <f t="shared" si="12"/>
        <v>24.3</v>
      </c>
      <c r="D20" s="103">
        <f t="shared" si="12"/>
        <v>19.399999999999999</v>
      </c>
      <c r="E20" s="103">
        <f t="shared" si="12"/>
        <v>24.3</v>
      </c>
      <c r="F20" s="103">
        <f t="shared" si="12"/>
        <v>19.399999999999999</v>
      </c>
      <c r="G20" s="103">
        <f t="shared" si="12"/>
        <v>19.399999999999999</v>
      </c>
      <c r="H20" s="124">
        <f t="shared" si="12"/>
        <v>19.399999999999999</v>
      </c>
      <c r="I20" s="104"/>
      <c r="J20" s="104"/>
      <c r="K20" s="104"/>
      <c r="L20" s="104"/>
      <c r="M20" s="104"/>
      <c r="N20" s="104"/>
      <c r="O20" s="104"/>
      <c r="P20" s="104"/>
      <c r="Q20" s="103">
        <f>ROUND(Q7*26.07/251,2)</f>
        <v>0.1</v>
      </c>
      <c r="R20" s="103">
        <f>ROUND(R7*26.07/251,2)</f>
        <v>19.399999999999999</v>
      </c>
      <c r="S20" s="124">
        <f>ROUND(S7*26.07/251,2)</f>
        <v>19.399999999999999</v>
      </c>
    </row>
    <row r="21" spans="1:19" ht="15" customHeight="1" x14ac:dyDescent="0.15">
      <c r="A21" s="102" t="s">
        <v>137</v>
      </c>
      <c r="B21" s="105">
        <f t="shared" ref="B21:S21" si="13">ROUND(11*2,2)</f>
        <v>22</v>
      </c>
      <c r="C21" s="124">
        <f t="shared" si="13"/>
        <v>22</v>
      </c>
      <c r="D21" s="105">
        <f t="shared" si="13"/>
        <v>22</v>
      </c>
      <c r="E21" s="105">
        <f t="shared" si="13"/>
        <v>22</v>
      </c>
      <c r="F21" s="105">
        <f t="shared" si="13"/>
        <v>22</v>
      </c>
      <c r="G21" s="105">
        <f t="shared" si="13"/>
        <v>22</v>
      </c>
      <c r="H21" s="124">
        <f t="shared" si="13"/>
        <v>22</v>
      </c>
      <c r="I21" s="105">
        <f t="shared" si="13"/>
        <v>22</v>
      </c>
      <c r="J21" s="105">
        <f t="shared" si="13"/>
        <v>22</v>
      </c>
      <c r="K21" s="105">
        <f t="shared" si="13"/>
        <v>22</v>
      </c>
      <c r="L21" s="105">
        <f t="shared" si="13"/>
        <v>22</v>
      </c>
      <c r="M21" s="105">
        <f t="shared" si="13"/>
        <v>22</v>
      </c>
      <c r="N21" s="105">
        <f t="shared" si="13"/>
        <v>22</v>
      </c>
      <c r="O21" s="105">
        <f t="shared" si="13"/>
        <v>22</v>
      </c>
      <c r="P21" s="105">
        <f t="shared" si="13"/>
        <v>22</v>
      </c>
      <c r="Q21" s="105">
        <f t="shared" si="13"/>
        <v>22</v>
      </c>
      <c r="R21" s="105">
        <f t="shared" si="13"/>
        <v>22</v>
      </c>
      <c r="S21" s="124">
        <f t="shared" si="13"/>
        <v>22</v>
      </c>
    </row>
    <row r="22" spans="1:19" ht="15" customHeight="1" x14ac:dyDescent="0.15">
      <c r="A22" s="102" t="s">
        <v>138</v>
      </c>
      <c r="B22" s="105">
        <f t="shared" ref="B22:S22" si="14">ROUND(11*1,2)</f>
        <v>11</v>
      </c>
      <c r="C22" s="124">
        <f t="shared" si="14"/>
        <v>11</v>
      </c>
      <c r="D22" s="105">
        <f t="shared" si="14"/>
        <v>11</v>
      </c>
      <c r="E22" s="105">
        <f t="shared" si="14"/>
        <v>11</v>
      </c>
      <c r="F22" s="106">
        <f t="shared" si="14"/>
        <v>11</v>
      </c>
      <c r="G22" s="105">
        <f t="shared" si="14"/>
        <v>11</v>
      </c>
      <c r="H22" s="124">
        <f t="shared" si="14"/>
        <v>11</v>
      </c>
      <c r="I22" s="105">
        <f t="shared" si="14"/>
        <v>11</v>
      </c>
      <c r="J22" s="105">
        <f t="shared" si="14"/>
        <v>11</v>
      </c>
      <c r="K22" s="105">
        <f t="shared" si="14"/>
        <v>11</v>
      </c>
      <c r="L22" s="105">
        <f t="shared" si="14"/>
        <v>11</v>
      </c>
      <c r="M22" s="105">
        <f t="shared" si="14"/>
        <v>11</v>
      </c>
      <c r="N22" s="105">
        <f t="shared" si="14"/>
        <v>11</v>
      </c>
      <c r="O22" s="105">
        <f t="shared" si="14"/>
        <v>11</v>
      </c>
      <c r="P22" s="105">
        <f t="shared" si="14"/>
        <v>11</v>
      </c>
      <c r="Q22" s="105">
        <f t="shared" si="14"/>
        <v>11</v>
      </c>
      <c r="R22" s="105">
        <f t="shared" si="14"/>
        <v>11</v>
      </c>
      <c r="S22" s="124">
        <f t="shared" si="14"/>
        <v>11</v>
      </c>
    </row>
    <row r="23" spans="1:19" ht="15" customHeight="1" x14ac:dyDescent="0.15">
      <c r="A23" s="102" t="s">
        <v>139</v>
      </c>
      <c r="B23" s="103">
        <v>6</v>
      </c>
      <c r="C23" s="124">
        <v>6</v>
      </c>
      <c r="D23" s="103">
        <v>6</v>
      </c>
      <c r="E23" s="103">
        <v>6</v>
      </c>
      <c r="F23" s="103">
        <v>6</v>
      </c>
      <c r="G23" s="103">
        <v>6</v>
      </c>
      <c r="H23" s="124">
        <v>6</v>
      </c>
      <c r="I23" s="103">
        <v>6</v>
      </c>
      <c r="J23" s="136">
        <v>6</v>
      </c>
      <c r="K23" s="103">
        <v>6</v>
      </c>
      <c r="L23" s="103">
        <v>6</v>
      </c>
      <c r="M23" s="103">
        <v>6</v>
      </c>
      <c r="N23" s="103">
        <v>6</v>
      </c>
      <c r="O23" s="103">
        <v>6</v>
      </c>
      <c r="P23" s="136">
        <v>6</v>
      </c>
      <c r="Q23" s="103">
        <v>6</v>
      </c>
      <c r="R23" s="103">
        <v>6</v>
      </c>
      <c r="S23" s="124">
        <v>6</v>
      </c>
    </row>
    <row r="24" spans="1:19" ht="15" customHeight="1" x14ac:dyDescent="0.15">
      <c r="A24" s="102" t="s">
        <v>140</v>
      </c>
      <c r="B24" s="103">
        <v>5</v>
      </c>
      <c r="C24" s="124">
        <v>5</v>
      </c>
      <c r="D24" s="103">
        <v>5</v>
      </c>
      <c r="E24" s="103">
        <v>5</v>
      </c>
      <c r="F24" s="103">
        <v>5</v>
      </c>
      <c r="G24" s="103">
        <v>5</v>
      </c>
      <c r="H24" s="124">
        <v>5</v>
      </c>
      <c r="I24" s="103">
        <v>5</v>
      </c>
      <c r="J24" s="136">
        <v>5</v>
      </c>
      <c r="K24" s="103">
        <v>5</v>
      </c>
      <c r="L24" s="103">
        <v>5</v>
      </c>
      <c r="M24" s="103">
        <v>5</v>
      </c>
      <c r="N24" s="103">
        <v>5</v>
      </c>
      <c r="O24" s="103">
        <v>5</v>
      </c>
      <c r="P24" s="136">
        <v>5</v>
      </c>
      <c r="Q24" s="103">
        <v>5</v>
      </c>
      <c r="R24" s="103">
        <v>5</v>
      </c>
      <c r="S24" s="124">
        <v>5</v>
      </c>
    </row>
    <row r="25" spans="1:19" ht="15" customHeight="1" x14ac:dyDescent="0.15">
      <c r="A25" s="102" t="s">
        <v>141</v>
      </c>
      <c r="B25" s="103">
        <v>4</v>
      </c>
      <c r="C25" s="124">
        <v>4</v>
      </c>
      <c r="D25" s="103">
        <v>4</v>
      </c>
      <c r="E25" s="103">
        <v>4</v>
      </c>
      <c r="F25" s="100">
        <v>4</v>
      </c>
      <c r="G25" s="103">
        <v>4</v>
      </c>
      <c r="H25" s="124">
        <v>4</v>
      </c>
      <c r="I25" s="103">
        <v>4</v>
      </c>
      <c r="J25" s="136">
        <v>4</v>
      </c>
      <c r="K25" s="103">
        <v>4</v>
      </c>
      <c r="L25" s="103">
        <v>4</v>
      </c>
      <c r="M25" s="103">
        <v>4</v>
      </c>
      <c r="N25" s="103">
        <v>4</v>
      </c>
      <c r="O25" s="103">
        <v>4</v>
      </c>
      <c r="P25" s="136">
        <v>4</v>
      </c>
      <c r="Q25" s="103">
        <v>4</v>
      </c>
      <c r="R25" s="103">
        <v>4</v>
      </c>
      <c r="S25" s="124">
        <v>4</v>
      </c>
    </row>
    <row r="26" spans="1:19" ht="15" customHeight="1" x14ac:dyDescent="0.15">
      <c r="A26" s="102" t="s">
        <v>142</v>
      </c>
      <c r="B26" s="103">
        <v>3</v>
      </c>
      <c r="C26" s="124">
        <v>3</v>
      </c>
      <c r="D26" s="103">
        <v>3</v>
      </c>
      <c r="E26" s="103">
        <v>3</v>
      </c>
      <c r="F26" s="103">
        <v>3</v>
      </c>
      <c r="G26" s="103">
        <v>3</v>
      </c>
      <c r="H26" s="124">
        <v>3</v>
      </c>
      <c r="I26" s="103">
        <v>3</v>
      </c>
      <c r="J26" s="136">
        <v>3</v>
      </c>
      <c r="K26" s="103">
        <v>3</v>
      </c>
      <c r="L26" s="103">
        <v>3</v>
      </c>
      <c r="M26" s="103">
        <v>3</v>
      </c>
      <c r="N26" s="103">
        <v>3</v>
      </c>
      <c r="O26" s="103">
        <v>3</v>
      </c>
      <c r="P26" s="136">
        <v>3</v>
      </c>
      <c r="Q26" s="103">
        <v>3</v>
      </c>
      <c r="R26" s="103">
        <v>3</v>
      </c>
      <c r="S26" s="124">
        <v>3</v>
      </c>
    </row>
    <row r="27" spans="1:19" ht="15" customHeight="1" x14ac:dyDescent="0.15">
      <c r="A27" s="102" t="s">
        <v>143</v>
      </c>
      <c r="B27" s="103">
        <v>2</v>
      </c>
      <c r="C27" s="124">
        <v>2</v>
      </c>
      <c r="D27" s="103">
        <v>2</v>
      </c>
      <c r="E27" s="100">
        <v>2</v>
      </c>
      <c r="F27" s="103">
        <v>2</v>
      </c>
      <c r="G27" s="103">
        <v>2</v>
      </c>
      <c r="H27" s="124">
        <v>2</v>
      </c>
      <c r="I27" s="103">
        <v>2</v>
      </c>
      <c r="J27" s="136">
        <v>2</v>
      </c>
      <c r="K27" s="103">
        <v>2</v>
      </c>
      <c r="L27" s="103">
        <v>2</v>
      </c>
      <c r="M27" s="103">
        <v>2</v>
      </c>
      <c r="N27" s="103">
        <v>2</v>
      </c>
      <c r="O27" s="103">
        <v>2</v>
      </c>
      <c r="P27" s="136">
        <v>2</v>
      </c>
      <c r="Q27" s="103">
        <v>2</v>
      </c>
      <c r="R27" s="103">
        <v>2</v>
      </c>
      <c r="S27" s="124">
        <v>2</v>
      </c>
    </row>
    <row r="28" spans="1:19" ht="15" customHeight="1" x14ac:dyDescent="0.15">
      <c r="A28" s="102" t="s">
        <v>144</v>
      </c>
      <c r="B28" s="103">
        <v>1</v>
      </c>
      <c r="C28" s="124">
        <v>1</v>
      </c>
      <c r="D28" s="103">
        <v>1</v>
      </c>
      <c r="E28" s="100">
        <v>1</v>
      </c>
      <c r="F28" s="103">
        <v>1</v>
      </c>
      <c r="G28" s="103">
        <v>1</v>
      </c>
      <c r="H28" s="124">
        <v>1</v>
      </c>
      <c r="I28" s="100">
        <v>1</v>
      </c>
      <c r="J28" s="135">
        <v>1</v>
      </c>
      <c r="K28" s="100">
        <v>1</v>
      </c>
      <c r="L28" s="100">
        <v>1</v>
      </c>
      <c r="M28" s="100">
        <v>1</v>
      </c>
      <c r="N28" s="100">
        <v>1</v>
      </c>
      <c r="O28" s="100">
        <v>1</v>
      </c>
      <c r="P28" s="135">
        <v>1</v>
      </c>
      <c r="Q28" s="100">
        <v>1</v>
      </c>
      <c r="R28" s="103">
        <v>1</v>
      </c>
      <c r="S28" s="124">
        <v>1</v>
      </c>
    </row>
    <row r="29" spans="1:19" ht="15" customHeight="1" x14ac:dyDescent="0.15">
      <c r="A29" s="100" t="s">
        <v>145</v>
      </c>
      <c r="B29" s="103">
        <v>0.5</v>
      </c>
      <c r="C29" s="124">
        <v>0.5</v>
      </c>
      <c r="D29" s="103">
        <v>0.5</v>
      </c>
      <c r="E29" s="103">
        <v>0.5</v>
      </c>
      <c r="F29" s="103">
        <v>0.5</v>
      </c>
      <c r="G29" s="103">
        <v>0.5</v>
      </c>
      <c r="H29" s="124">
        <v>0.5</v>
      </c>
      <c r="I29" s="103">
        <v>0.5</v>
      </c>
      <c r="J29" s="136">
        <v>0.5</v>
      </c>
      <c r="K29" s="103">
        <v>0.5</v>
      </c>
      <c r="L29" s="103">
        <v>0.5</v>
      </c>
      <c r="M29" s="103">
        <v>0.5</v>
      </c>
      <c r="N29" s="103">
        <v>0.5</v>
      </c>
      <c r="O29" s="103">
        <v>0.5</v>
      </c>
      <c r="P29" s="136">
        <v>0.5</v>
      </c>
      <c r="Q29" s="103">
        <v>0.5</v>
      </c>
      <c r="R29" s="103">
        <v>0.5</v>
      </c>
      <c r="S29" s="124">
        <v>0.5</v>
      </c>
    </row>
    <row r="30" spans="1:19" ht="15" customHeight="1" x14ac:dyDescent="0.15">
      <c r="A30" s="100">
        <v>0</v>
      </c>
      <c r="B30" s="100">
        <v>0</v>
      </c>
      <c r="C30" s="124">
        <v>0</v>
      </c>
      <c r="D30" s="100">
        <v>0</v>
      </c>
      <c r="E30" s="100">
        <v>0</v>
      </c>
      <c r="F30" s="100">
        <v>0</v>
      </c>
      <c r="G30" s="103">
        <v>0</v>
      </c>
      <c r="H30" s="123">
        <v>0</v>
      </c>
      <c r="I30" s="107"/>
      <c r="J30" s="136"/>
      <c r="K30" s="107"/>
      <c r="L30" s="107"/>
      <c r="M30" s="107"/>
      <c r="N30" s="104"/>
      <c r="O30" s="107"/>
      <c r="P30" s="107"/>
      <c r="Q30" s="103">
        <v>0</v>
      </c>
      <c r="R30" s="103">
        <v>0</v>
      </c>
      <c r="S30" s="124">
        <v>0</v>
      </c>
    </row>
    <row r="31" spans="1:19" ht="15" customHeight="1" x14ac:dyDescent="0.15">
      <c r="A31" s="100" t="s">
        <v>147</v>
      </c>
      <c r="B31" s="104"/>
      <c r="C31" s="104"/>
      <c r="D31" s="104"/>
      <c r="E31" s="104"/>
      <c r="F31" s="104"/>
      <c r="G31" s="104"/>
      <c r="H31" s="104"/>
      <c r="I31" s="104"/>
      <c r="J31" s="136"/>
      <c r="K31" s="104"/>
      <c r="L31" s="104"/>
      <c r="M31" s="104"/>
      <c r="N31" s="104"/>
      <c r="O31" s="104"/>
      <c r="P31" s="104"/>
      <c r="Q31" s="104"/>
      <c r="R31" s="104"/>
      <c r="S31" s="104"/>
    </row>
  </sheetData>
  <mergeCells count="1">
    <mergeCell ref="E1:H2"/>
  </mergeCells>
  <dataValidations count="2">
    <dataValidation type="textLength" operator="equal" allowBlank="1" showInputMessage="1" showErrorMessage="1" prompt="Reinigung erfolgt 1 Mal monatlich." sqref="A22" xr:uid="{00000000-0002-0000-1600-000000000000}">
      <formula1>2</formula1>
    </dataValidation>
    <dataValidation type="textLength" operator="equal" allowBlank="1" showInputMessage="1" showErrorMessage="1" prompt="Reinigung erfolgt 2 Mal monatlich." sqref="A21" xr:uid="{00000000-0002-0000-1600-000001000000}">
      <formula1>2</formula1>
    </dataValidation>
  </dataValidations>
  <hyperlinks>
    <hyperlink ref="I1" location="Inhaltsverzeichnis!A1" display="Zurück zum Inhaltsverzeichnis" xr:uid="{00000000-0004-0000-16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&amp;RReinigungstage&amp;LAmt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ltText="Hinweis">
                <anchor moveWithCells="1">
                  <from>
                    <xdr:col>3</xdr:col>
                    <xdr:colOff>47625</xdr:colOff>
                    <xdr:row>0</xdr:row>
                    <xdr:rowOff>142875</xdr:rowOff>
                  </from>
                  <to>
                    <xdr:col>3</xdr:col>
                    <xdr:colOff>771525</xdr:colOff>
                    <xdr:row>0</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58"/>
  </sheetPr>
  <dimension ref="A1:J11"/>
  <sheetViews>
    <sheetView showGridLines="0" zoomScaleNormal="100" workbookViewId="0">
      <selection activeCell="C22" sqref="C22"/>
    </sheetView>
  </sheetViews>
  <sheetFormatPr baseColWidth="10" defaultColWidth="11.42578125" defaultRowHeight="15" customHeight="1" x14ac:dyDescent="0.2"/>
  <cols>
    <col min="1" max="1" width="25.7109375" style="4" customWidth="1"/>
    <col min="2" max="2" width="15.7109375" style="4" customWidth="1"/>
    <col min="3" max="7" width="14.28515625" style="4" customWidth="1"/>
    <col min="8" max="10" width="16.7109375" style="4" customWidth="1"/>
    <col min="11" max="16384" width="11.42578125" style="4"/>
  </cols>
  <sheetData>
    <row r="1" spans="1:10" ht="29.1" customHeight="1" x14ac:dyDescent="0.2">
      <c r="A1" s="4" t="s">
        <v>186</v>
      </c>
      <c r="D1" s="17"/>
      <c r="G1" s="5"/>
    </row>
    <row r="2" spans="1:10" ht="24" customHeight="1" x14ac:dyDescent="0.2">
      <c r="B2" s="42" t="b">
        <v>0</v>
      </c>
      <c r="C2" s="158" t="str">
        <f>IF(B2=TRUE,"Hier muss nichts ausgefüllt werden. Füllen Sie zunächst in den folgenden Tabellen die gelben Zellen aus. Kehren Sie dann zu dieser Tabelle zurück.","")</f>
        <v/>
      </c>
      <c r="D2" s="158"/>
      <c r="E2" s="158"/>
      <c r="F2" s="158"/>
      <c r="G2" s="158"/>
    </row>
    <row r="3" spans="1:10" ht="24" customHeight="1" x14ac:dyDescent="0.2">
      <c r="A3" s="20" t="s">
        <v>103</v>
      </c>
      <c r="B3" s="21" t="str">
        <f>IF(Inhaltsverzeichnis!$C$3="", "",Inhaltsverzeichnis!$C$3)</f>
        <v/>
      </c>
      <c r="C3" s="5"/>
      <c r="D3" s="5"/>
    </row>
    <row r="4" spans="1:10" s="16" customFormat="1" ht="29.1" customHeight="1" x14ac:dyDescent="0.2">
      <c r="A4" s="156" t="s">
        <v>564</v>
      </c>
      <c r="B4" s="157"/>
      <c r="C4" s="2" t="s">
        <v>558</v>
      </c>
      <c r="D4" s="2" t="s">
        <v>560</v>
      </c>
      <c r="E4" s="2" t="s">
        <v>561</v>
      </c>
      <c r="F4" s="2" t="s">
        <v>563</v>
      </c>
      <c r="G4" s="2" t="s">
        <v>562</v>
      </c>
      <c r="H4" s="152" t="s">
        <v>565</v>
      </c>
      <c r="I4" s="152"/>
      <c r="J4" s="152"/>
    </row>
    <row r="5" spans="1:10" s="16" customFormat="1" ht="29.1" customHeight="1" x14ac:dyDescent="0.2">
      <c r="A5" s="2" t="s">
        <v>96</v>
      </c>
      <c r="B5" s="140" t="s">
        <v>181</v>
      </c>
      <c r="C5" s="2" t="s">
        <v>156</v>
      </c>
      <c r="D5" s="2" t="s">
        <v>156</v>
      </c>
      <c r="E5" s="2" t="s">
        <v>156</v>
      </c>
      <c r="F5" s="2" t="s">
        <v>156</v>
      </c>
      <c r="G5" s="2" t="s">
        <v>156</v>
      </c>
      <c r="H5" s="2" t="s">
        <v>156</v>
      </c>
      <c r="I5" s="2" t="s">
        <v>566</v>
      </c>
      <c r="J5" s="2" t="s">
        <v>157</v>
      </c>
    </row>
    <row r="6" spans="1:10" ht="15" customHeight="1" x14ac:dyDescent="0.2">
      <c r="A6" s="13" t="s">
        <v>203</v>
      </c>
      <c r="B6" s="141">
        <v>2</v>
      </c>
      <c r="C6" s="41">
        <f ca="1">'Kal Unter PvH AL1'!Q21</f>
        <v>0</v>
      </c>
      <c r="D6" s="41">
        <f>'Kal Grund PvH AL1'!Q21</f>
        <v>0</v>
      </c>
      <c r="E6" s="44"/>
      <c r="F6" s="41">
        <f>SUMIF('Kal Verbrauch Gesamt'!$B$5:$B7,$A$6,'Kal Verbrauch Gesamt'!$G$5:$G7)</f>
        <v>0</v>
      </c>
      <c r="G6" s="41">
        <f ca="1">SUMIF('Kal TeilRG Gesamt'!$B$5:$B7,$A$6,'Kal TeilRG Gesamt'!$L$5:$L7)</f>
        <v>0</v>
      </c>
      <c r="H6" s="41">
        <f t="shared" ref="H6:H9" ca="1" si="0">SUM(C6:G6)</f>
        <v>0</v>
      </c>
      <c r="I6" s="41">
        <f t="shared" ref="I6:I9" ca="1" si="1">J6-H6</f>
        <v>0</v>
      </c>
      <c r="J6" s="41">
        <f t="shared" ref="J6:J9" ca="1" si="2">ROUND(H6*1.19,2)</f>
        <v>0</v>
      </c>
    </row>
    <row r="7" spans="1:10" ht="15" customHeight="1" x14ac:dyDescent="0.2">
      <c r="A7" s="13" t="s">
        <v>211</v>
      </c>
      <c r="B7" s="141">
        <v>2</v>
      </c>
      <c r="C7" s="41">
        <f>'Kal Unter PvH grSchulgeb'!Q21</f>
        <v>0</v>
      </c>
      <c r="D7" s="41">
        <f>'Kal Grund PvH grSchulgeb'!Q21</f>
        <v>0</v>
      </c>
      <c r="E7" s="41">
        <f>'Kal Rohre u Balken Gesamt'!K5</f>
        <v>0</v>
      </c>
      <c r="F7" s="44"/>
      <c r="G7" s="44"/>
      <c r="H7" s="41">
        <f t="shared" si="0"/>
        <v>0</v>
      </c>
      <c r="I7" s="41">
        <f t="shared" si="1"/>
        <v>0</v>
      </c>
      <c r="J7" s="41">
        <f t="shared" si="2"/>
        <v>0</v>
      </c>
    </row>
    <row r="8" spans="1:10" ht="15" customHeight="1" x14ac:dyDescent="0.2">
      <c r="A8" s="13" t="s">
        <v>214</v>
      </c>
      <c r="B8" s="141">
        <v>2</v>
      </c>
      <c r="C8" s="41">
        <f>'Kal Unter PvH SH'!Q21</f>
        <v>0</v>
      </c>
      <c r="D8" s="41">
        <f>'Kal Grund PvH SH'!Q21</f>
        <v>0</v>
      </c>
      <c r="E8" s="44"/>
      <c r="F8" s="44"/>
      <c r="G8" s="44"/>
      <c r="H8" s="41">
        <f t="shared" si="0"/>
        <v>0</v>
      </c>
      <c r="I8" s="41">
        <f t="shared" si="1"/>
        <v>0</v>
      </c>
      <c r="J8" s="41">
        <f t="shared" si="2"/>
        <v>0</v>
      </c>
    </row>
    <row r="9" spans="1:10" ht="15" customHeight="1" x14ac:dyDescent="0.2">
      <c r="A9" s="13" t="s">
        <v>216</v>
      </c>
      <c r="B9" s="141">
        <v>2</v>
      </c>
      <c r="C9" s="41">
        <f>'Kal Unter PvH soz Gruppe'!Q21</f>
        <v>0</v>
      </c>
      <c r="D9" s="41">
        <f>'Kal Grund PvH soz Gruppe'!Q21</f>
        <v>0</v>
      </c>
      <c r="E9" s="44"/>
      <c r="F9" s="44"/>
      <c r="G9" s="44"/>
      <c r="H9" s="41">
        <f t="shared" si="0"/>
        <v>0</v>
      </c>
      <c r="I9" s="41">
        <f t="shared" si="1"/>
        <v>0</v>
      </c>
      <c r="J9" s="41">
        <f t="shared" si="2"/>
        <v>0</v>
      </c>
    </row>
    <row r="10" spans="1:10" ht="15" hidden="1" customHeight="1" x14ac:dyDescent="0.2">
      <c r="A10" s="13"/>
      <c r="B10" s="43"/>
      <c r="C10" s="41"/>
      <c r="D10" s="41"/>
      <c r="E10" s="44"/>
      <c r="F10" s="44"/>
      <c r="G10" s="41"/>
      <c r="H10" s="41"/>
      <c r="I10" s="41"/>
      <c r="J10" s="41"/>
    </row>
    <row r="11" spans="1:10" ht="15" customHeight="1" x14ac:dyDescent="0.2">
      <c r="A11" s="153" t="s">
        <v>567</v>
      </c>
      <c r="B11" s="154"/>
      <c r="C11" s="155"/>
      <c r="D11" s="155"/>
      <c r="E11" s="155"/>
      <c r="F11" s="155"/>
      <c r="G11" s="155"/>
      <c r="H11" s="41">
        <f ca="1">ROUND(SUM(H6:H10),2)</f>
        <v>0</v>
      </c>
      <c r="I11" s="41">
        <f ca="1">ROUND(SUM(I6:I10),2)</f>
        <v>0</v>
      </c>
      <c r="J11" s="41">
        <f ca="1">ROUND(SUM(J6:J10),2)</f>
        <v>0</v>
      </c>
    </row>
  </sheetData>
  <mergeCells count="4">
    <mergeCell ref="H4:J4"/>
    <mergeCell ref="A11:G11"/>
    <mergeCell ref="A4:B4"/>
    <mergeCell ref="C2:G2"/>
  </mergeCells>
  <phoneticPr fontId="3" type="noConversion"/>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Hinweis">
                <anchor moveWithCells="1">
                  <from>
                    <xdr:col>1</xdr:col>
                    <xdr:colOff>180975</xdr:colOff>
                    <xdr:row>1</xdr:row>
                    <xdr:rowOff>28575</xdr:rowOff>
                  </from>
                  <to>
                    <xdr:col>1</xdr:col>
                    <xdr:colOff>933450</xdr:colOff>
                    <xdr:row>1</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8">
    <tabColor rgb="FF66FF66"/>
  </sheetPr>
  <dimension ref="A1:O79"/>
  <sheetViews>
    <sheetView showGridLines="0" topLeftCell="A44" zoomScaleNormal="100" zoomScaleSheetLayoutView="70" workbookViewId="0"/>
  </sheetViews>
  <sheetFormatPr baseColWidth="10" defaultColWidth="11.42578125" defaultRowHeight="10.5" x14ac:dyDescent="0.2"/>
  <cols>
    <col min="1" max="1" width="6.42578125" style="4" customWidth="1"/>
    <col min="2" max="2" width="2.7109375" style="4" customWidth="1"/>
    <col min="3" max="3" width="45.5703125" style="4" customWidth="1"/>
    <col min="4" max="4" width="8.5703125" style="4" customWidth="1"/>
    <col min="5" max="5" width="2.5703125" style="4" customWidth="1"/>
    <col min="6" max="6" width="11.42578125" style="4"/>
    <col min="7" max="7" width="2.85546875" style="4" customWidth="1"/>
    <col min="8" max="8" width="11.42578125" style="4"/>
    <col min="9" max="9" width="2.7109375" style="4" bestFit="1" customWidth="1"/>
    <col min="10" max="10" width="1.28515625" style="4" customWidth="1"/>
    <col min="11" max="11" width="18.28515625" style="4" bestFit="1" customWidth="1"/>
    <col min="12" max="16384" width="11.42578125" style="4"/>
  </cols>
  <sheetData>
    <row r="1" spans="1:11" ht="34.9" customHeight="1" x14ac:dyDescent="0.2">
      <c r="A1" s="64" t="str">
        <f ca="1">IF(H61&lt;&gt;"","","Bitte alle gelben Zellen ausfüllen.")</f>
        <v>Bitte alle gelben Zellen ausfüllen.</v>
      </c>
      <c r="D1" s="80" t="b">
        <v>0</v>
      </c>
      <c r="E1" s="150"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50"/>
      <c r="G1" s="150"/>
      <c r="H1" s="150"/>
      <c r="I1" s="150"/>
      <c r="K1" s="6" t="s">
        <v>100</v>
      </c>
    </row>
    <row r="2" spans="1:11" ht="33" customHeight="1" x14ac:dyDescent="0.2">
      <c r="A2" s="4" t="s">
        <v>103</v>
      </c>
      <c r="C2" s="4" t="str">
        <f>IF(Inhaltsverzeichnis!$C$3="", "",Inhaltsverzeichnis!$C$3)</f>
        <v/>
      </c>
      <c r="D2" s="42" t="b">
        <v>0</v>
      </c>
      <c r="E2" s="150"/>
      <c r="F2" s="150"/>
      <c r="G2" s="150"/>
      <c r="H2" s="150"/>
      <c r="I2" s="150"/>
    </row>
    <row r="3" spans="1:11" s="3" customFormat="1" ht="12.75" x14ac:dyDescent="0.2">
      <c r="A3" s="167" t="s">
        <v>102</v>
      </c>
      <c r="B3" s="167"/>
      <c r="C3" s="167"/>
      <c r="D3" s="167"/>
      <c r="E3" s="167"/>
      <c r="F3" s="167"/>
      <c r="G3" s="167"/>
      <c r="H3" s="167"/>
      <c r="I3" s="167"/>
    </row>
    <row r="4" spans="1:11" x14ac:dyDescent="0.2">
      <c r="A4" s="65"/>
      <c r="B4" s="65"/>
      <c r="C4" s="65"/>
      <c r="D4" s="65"/>
      <c r="E4" s="65"/>
      <c r="F4" s="65"/>
      <c r="G4" s="65"/>
      <c r="H4" s="65"/>
      <c r="I4" s="65"/>
    </row>
    <row r="5" spans="1:11" x14ac:dyDescent="0.2">
      <c r="A5" s="66" t="s">
        <v>1</v>
      </c>
      <c r="B5" s="66" t="s">
        <v>2</v>
      </c>
      <c r="C5" s="66"/>
      <c r="D5" s="66"/>
      <c r="E5" s="66"/>
      <c r="F5" s="67">
        <v>100</v>
      </c>
      <c r="G5" s="66" t="s">
        <v>3</v>
      </c>
      <c r="H5" s="11"/>
      <c r="I5" s="66" t="s">
        <v>4</v>
      </c>
      <c r="K5" s="68" t="str">
        <f>IF(H5="","Bitte ausfüllen!",IF(H61="","Der voreingetragene produktive Stundenlohn ist eine Mindestanforderung. Inhalt der gelben Zellen kann angepasst werden.",""))</f>
        <v>Bitte ausfüllen!</v>
      </c>
    </row>
    <row r="6" spans="1:11" x14ac:dyDescent="0.2">
      <c r="A6" s="65"/>
      <c r="B6" s="65"/>
      <c r="C6" s="65"/>
      <c r="D6" s="65"/>
      <c r="E6" s="65"/>
      <c r="F6" s="69"/>
      <c r="G6" s="65"/>
      <c r="H6" s="69"/>
      <c r="I6" s="65"/>
    </row>
    <row r="7" spans="1:11" x14ac:dyDescent="0.2">
      <c r="A7" s="66" t="s">
        <v>5</v>
      </c>
      <c r="B7" s="66" t="s">
        <v>6</v>
      </c>
      <c r="C7" s="66"/>
      <c r="D7" s="66"/>
      <c r="E7" s="66"/>
      <c r="F7" s="70"/>
      <c r="G7" s="66"/>
      <c r="H7" s="70"/>
      <c r="I7" s="66"/>
    </row>
    <row r="8" spans="1:11" ht="14.25" x14ac:dyDescent="0.2">
      <c r="A8" s="65" t="s">
        <v>7</v>
      </c>
      <c r="B8" s="65" t="s">
        <v>8</v>
      </c>
      <c r="C8" s="65"/>
      <c r="D8" s="65"/>
      <c r="E8" s="65"/>
      <c r="F8" s="70"/>
      <c r="G8" s="70"/>
      <c r="H8" s="70"/>
      <c r="I8" s="70"/>
      <c r="K8" s="71"/>
    </row>
    <row r="9" spans="1:11" x14ac:dyDescent="0.2">
      <c r="A9" s="65" t="s">
        <v>9</v>
      </c>
      <c r="B9" s="65"/>
      <c r="C9" s="65" t="s">
        <v>10</v>
      </c>
      <c r="D9" s="65"/>
      <c r="E9" s="65"/>
      <c r="F9" s="112"/>
      <c r="G9" s="65" t="s">
        <v>3</v>
      </c>
      <c r="H9" s="72" t="str">
        <f>IF(F9="","",ROUND(F9/100*$H$5,2))</f>
        <v/>
      </c>
      <c r="I9" s="65" t="s">
        <v>4</v>
      </c>
      <c r="K9" s="68" t="str">
        <f>IF(F9="","Bitte ausfüllen!","")</f>
        <v>Bitte ausfüllen!</v>
      </c>
    </row>
    <row r="10" spans="1:11" x14ac:dyDescent="0.2">
      <c r="A10" s="65" t="s">
        <v>11</v>
      </c>
      <c r="B10" s="65"/>
      <c r="C10" s="65" t="s">
        <v>12</v>
      </c>
      <c r="D10" s="65"/>
      <c r="E10" s="65"/>
      <c r="F10" s="112"/>
      <c r="G10" s="65" t="s">
        <v>3</v>
      </c>
      <c r="H10" s="72" t="str">
        <f>IF(F10="","",ROUND(F10/100*$H$5,2))</f>
        <v/>
      </c>
      <c r="I10" s="65" t="s">
        <v>4</v>
      </c>
      <c r="K10" s="68" t="str">
        <f>IF(F10="","Bitte ausfüllen!","")</f>
        <v>Bitte ausfüllen!</v>
      </c>
    </row>
    <row r="11" spans="1:11" x14ac:dyDescent="0.2">
      <c r="A11" s="65" t="s">
        <v>13</v>
      </c>
      <c r="B11" s="65"/>
      <c r="C11" s="65" t="s">
        <v>14</v>
      </c>
      <c r="D11" s="65"/>
      <c r="E11" s="65"/>
      <c r="F11" s="112"/>
      <c r="G11" s="65" t="s">
        <v>3</v>
      </c>
      <c r="H11" s="72" t="str">
        <f>IF(F11="","",ROUND(F11/100*$H$5,2))</f>
        <v/>
      </c>
      <c r="I11" s="65" t="s">
        <v>4</v>
      </c>
      <c r="K11" s="68" t="str">
        <f>IF(F11="","Bitte ausfüllen!","")</f>
        <v>Bitte ausfüllen!</v>
      </c>
    </row>
    <row r="12" spans="1:11" x14ac:dyDescent="0.2">
      <c r="A12" s="65" t="s">
        <v>15</v>
      </c>
      <c r="B12" s="65"/>
      <c r="C12" s="65" t="s">
        <v>16</v>
      </c>
      <c r="D12" s="65"/>
      <c r="E12" s="65"/>
      <c r="F12" s="112"/>
      <c r="G12" s="65" t="s">
        <v>3</v>
      </c>
      <c r="H12" s="72" t="str">
        <f>IF(F12="","",ROUND(F12/100*$H$5,2))</f>
        <v/>
      </c>
      <c r="I12" s="65" t="s">
        <v>4</v>
      </c>
      <c r="K12" s="68" t="str">
        <f>IF(F12="","Bitte ausfüllen!","")</f>
        <v>Bitte ausfüllen!</v>
      </c>
    </row>
    <row r="13" spans="1:11" x14ac:dyDescent="0.2">
      <c r="A13" s="65" t="s">
        <v>17</v>
      </c>
      <c r="B13" s="65"/>
      <c r="C13" s="65" t="s">
        <v>18</v>
      </c>
      <c r="D13" s="65"/>
      <c r="E13" s="65"/>
      <c r="F13" s="112"/>
      <c r="G13" s="65" t="s">
        <v>3</v>
      </c>
      <c r="H13" s="72" t="str">
        <f>IF(F13="","",ROUND(F13/100*$H$5,2))</f>
        <v/>
      </c>
      <c r="I13" s="65" t="s">
        <v>4</v>
      </c>
      <c r="K13" s="68" t="str">
        <f>IF(F13="","Bitte ausfüllen!","")</f>
        <v>Bitte ausfüllen!</v>
      </c>
    </row>
    <row r="14" spans="1:11" x14ac:dyDescent="0.2">
      <c r="A14" s="66"/>
      <c r="B14" s="66" t="s">
        <v>19</v>
      </c>
      <c r="C14" s="66"/>
      <c r="D14" s="66"/>
      <c r="E14" s="66"/>
      <c r="F14" s="73">
        <f>IF(SUM(F9:F13)=0,0,SUM(F9:F13))</f>
        <v>0</v>
      </c>
      <c r="G14" s="66" t="s">
        <v>3</v>
      </c>
      <c r="H14" s="74" t="str">
        <f>IF(COUNTIF(F9:F13,"")&gt;0,"",SUM(H8:H13))</f>
        <v/>
      </c>
      <c r="I14" s="66" t="s">
        <v>4</v>
      </c>
      <c r="K14" s="68" t="str">
        <f>IF(H14="","Angaben offen!","")</f>
        <v>Angaben offen!</v>
      </c>
    </row>
    <row r="15" spans="1:11" x14ac:dyDescent="0.2">
      <c r="A15" s="65"/>
      <c r="B15" s="65"/>
      <c r="C15" s="65"/>
      <c r="D15" s="65"/>
      <c r="E15" s="65"/>
      <c r="F15" s="69"/>
      <c r="G15" s="65"/>
      <c r="H15" s="69"/>
      <c r="I15" s="65"/>
    </row>
    <row r="16" spans="1:11" x14ac:dyDescent="0.2">
      <c r="A16" s="66" t="s">
        <v>20</v>
      </c>
      <c r="B16" s="66" t="s">
        <v>21</v>
      </c>
      <c r="C16" s="66"/>
      <c r="D16" s="66"/>
      <c r="E16" s="66"/>
      <c r="F16" s="70"/>
      <c r="G16" s="66"/>
      <c r="H16" s="70"/>
      <c r="I16" s="66"/>
    </row>
    <row r="17" spans="1:11" ht="11.25" x14ac:dyDescent="0.2">
      <c r="A17" s="65" t="s">
        <v>22</v>
      </c>
      <c r="B17" s="65" t="s">
        <v>121</v>
      </c>
      <c r="C17" s="65"/>
      <c r="D17" s="12"/>
      <c r="E17" s="65" t="s">
        <v>3</v>
      </c>
      <c r="F17" s="69"/>
      <c r="G17" s="65"/>
      <c r="H17" s="69"/>
      <c r="I17" s="65"/>
      <c r="K17" s="68" t="str">
        <f ca="1">IF(D17&lt;D73,"Wert prüfen!",IF(H61="","Inhalt der gelben Zellen kann angepasst werden.",""))</f>
        <v>Inhalt der gelben Zellen kann angepasst werden.</v>
      </c>
    </row>
    <row r="18" spans="1:11" x14ac:dyDescent="0.2">
      <c r="A18" s="65"/>
      <c r="B18" s="65" t="s">
        <v>23</v>
      </c>
      <c r="C18" s="65"/>
      <c r="D18" s="75"/>
      <c r="E18" s="65" t="s">
        <v>3</v>
      </c>
      <c r="F18" s="76" t="str">
        <f>IF(D18="","",D17+D18)</f>
        <v/>
      </c>
      <c r="G18" s="65" t="s">
        <v>3</v>
      </c>
      <c r="H18" s="72" t="str">
        <f>IF(D18="","",ROUND(F18/100*$H$5,2))</f>
        <v/>
      </c>
      <c r="I18" s="65" t="s">
        <v>4</v>
      </c>
      <c r="K18" s="68"/>
    </row>
    <row r="19" spans="1:11" ht="11.25" x14ac:dyDescent="0.2">
      <c r="A19" s="65" t="s">
        <v>24</v>
      </c>
      <c r="B19" s="65" t="s">
        <v>122</v>
      </c>
      <c r="C19" s="65"/>
      <c r="D19" s="12"/>
      <c r="E19" s="65" t="s">
        <v>3</v>
      </c>
      <c r="F19" s="77"/>
      <c r="G19" s="65"/>
      <c r="H19" s="69"/>
      <c r="I19" s="65"/>
      <c r="K19" s="68" t="str">
        <f ca="1">IF(D19&lt;&gt;D74,"Wert prüfen!",IF(H61="","Inhalt der gelben Zellen kann angepasst werden.",""))</f>
        <v>Inhalt der gelben Zellen kann angepasst werden.</v>
      </c>
    </row>
    <row r="20" spans="1:11" x14ac:dyDescent="0.2">
      <c r="A20" s="65"/>
      <c r="B20" s="65" t="s">
        <v>25</v>
      </c>
      <c r="C20" s="65"/>
      <c r="D20" s="75"/>
      <c r="E20" s="65" t="s">
        <v>3</v>
      </c>
      <c r="F20" s="76" t="str">
        <f>IF(D20="","",D19+D20)</f>
        <v/>
      </c>
      <c r="G20" s="65" t="s">
        <v>3</v>
      </c>
      <c r="H20" s="72" t="str">
        <f>IF(D20="","",ROUND(F20/100*$H$5,2))</f>
        <v/>
      </c>
      <c r="I20" s="65" t="s">
        <v>4</v>
      </c>
      <c r="K20" s="68"/>
    </row>
    <row r="21" spans="1:11" ht="11.25" x14ac:dyDescent="0.2">
      <c r="A21" s="65" t="s">
        <v>26</v>
      </c>
      <c r="B21" s="65" t="s">
        <v>123</v>
      </c>
      <c r="C21" s="65"/>
      <c r="D21" s="12"/>
      <c r="E21" s="65" t="s">
        <v>3</v>
      </c>
      <c r="F21" s="77"/>
      <c r="G21" s="65"/>
      <c r="H21" s="69"/>
      <c r="I21" s="65"/>
      <c r="K21" s="68" t="str">
        <f ca="1">IF(D21&lt;&gt;D75,"Wert prüfen!",IF(H61="","Inhalt der gelben Zellen kann angepasst werden.",""))</f>
        <v>Inhalt der gelben Zellen kann angepasst werden.</v>
      </c>
    </row>
    <row r="22" spans="1:11" x14ac:dyDescent="0.2">
      <c r="A22" s="65"/>
      <c r="B22" s="65" t="s">
        <v>27</v>
      </c>
      <c r="C22" s="65"/>
      <c r="D22" s="75"/>
      <c r="E22" s="65" t="s">
        <v>3</v>
      </c>
      <c r="F22" s="76" t="str">
        <f>IF(D22="","",D21+D22)</f>
        <v/>
      </c>
      <c r="G22" s="65" t="s">
        <v>3</v>
      </c>
      <c r="H22" s="72" t="str">
        <f>IF(D22="","",ROUND(F22/100*$H$5,2))</f>
        <v/>
      </c>
      <c r="I22" s="65" t="s">
        <v>4</v>
      </c>
      <c r="K22" s="68"/>
    </row>
    <row r="23" spans="1:11" ht="11.25" x14ac:dyDescent="0.2">
      <c r="A23" s="65" t="s">
        <v>28</v>
      </c>
      <c r="B23" s="65" t="s">
        <v>124</v>
      </c>
      <c r="C23" s="65"/>
      <c r="D23" s="12"/>
      <c r="E23" s="65" t="s">
        <v>3</v>
      </c>
      <c r="F23" s="77"/>
      <c r="G23" s="65"/>
      <c r="H23" s="69"/>
      <c r="I23" s="65"/>
      <c r="K23" s="68" t="str">
        <f ca="1">IF(D23&lt;&gt;D76,"Wert prüfen!",IF(H61="","Inhalt der gelben Zellen kann angepasst werden.",""))</f>
        <v>Inhalt der gelben Zellen kann angepasst werden.</v>
      </c>
    </row>
    <row r="24" spans="1:11" x14ac:dyDescent="0.2">
      <c r="A24" s="65"/>
      <c r="B24" s="65" t="s">
        <v>29</v>
      </c>
      <c r="C24" s="65"/>
      <c r="D24" s="75"/>
      <c r="E24" s="65" t="s">
        <v>3</v>
      </c>
      <c r="F24" s="76" t="str">
        <f>IF(D24="","",D23+D24)</f>
        <v/>
      </c>
      <c r="G24" s="65" t="s">
        <v>3</v>
      </c>
      <c r="H24" s="72" t="str">
        <f>IF(D24="","",ROUND(F24/100*$H$5,2))</f>
        <v/>
      </c>
      <c r="I24" s="65" t="s">
        <v>4</v>
      </c>
      <c r="K24" s="68"/>
    </row>
    <row r="25" spans="1:11" ht="11.25" x14ac:dyDescent="0.2">
      <c r="A25" s="65" t="s">
        <v>30</v>
      </c>
      <c r="B25" s="65" t="s">
        <v>125</v>
      </c>
      <c r="C25" s="65"/>
      <c r="D25" s="12"/>
      <c r="E25" s="65" t="s">
        <v>3</v>
      </c>
      <c r="F25" s="77"/>
      <c r="G25" s="65"/>
      <c r="H25" s="69"/>
      <c r="I25" s="65"/>
      <c r="K25" s="68" t="str">
        <f>IF(D25="","Bitte ausfüllen!","")</f>
        <v>Bitte ausfüllen!</v>
      </c>
    </row>
    <row r="26" spans="1:11" x14ac:dyDescent="0.2">
      <c r="A26" s="65"/>
      <c r="B26" s="65" t="s">
        <v>31</v>
      </c>
      <c r="C26" s="65"/>
      <c r="D26" s="75">
        <f>(D25/100)*$F$14</f>
        <v>0</v>
      </c>
      <c r="E26" s="65" t="s">
        <v>3</v>
      </c>
      <c r="F26" s="76">
        <f>IF(D26="","",D25+D26)</f>
        <v>0</v>
      </c>
      <c r="G26" s="65" t="s">
        <v>3</v>
      </c>
      <c r="H26" s="72">
        <f>IF(D26="","",ROUND(F26/100*$H$5,2))</f>
        <v>0</v>
      </c>
      <c r="I26" s="65" t="s">
        <v>4</v>
      </c>
      <c r="K26" s="68"/>
    </row>
    <row r="27" spans="1:11" ht="11.25" x14ac:dyDescent="0.2">
      <c r="A27" s="65" t="s">
        <v>32</v>
      </c>
      <c r="B27" s="65" t="s">
        <v>126</v>
      </c>
      <c r="C27" s="65"/>
      <c r="D27" s="65"/>
      <c r="E27" s="65"/>
      <c r="F27" s="12"/>
      <c r="G27" s="65" t="s">
        <v>3</v>
      </c>
      <c r="H27" s="72" t="str">
        <f>IF(F27="","",ROUND(F27/100*$H$5,2))</f>
        <v/>
      </c>
      <c r="I27" s="65" t="s">
        <v>4</v>
      </c>
      <c r="K27" s="68" t="str">
        <f>IF(F27="","Bitte ausfüllen!","")</f>
        <v>Bitte ausfüllen!</v>
      </c>
    </row>
    <row r="28" spans="1:11" ht="11.25" x14ac:dyDescent="0.2">
      <c r="A28" s="65" t="s">
        <v>33</v>
      </c>
      <c r="B28" s="65" t="s">
        <v>127</v>
      </c>
      <c r="C28" s="65"/>
      <c r="D28" s="65"/>
      <c r="E28" s="65"/>
      <c r="F28" s="12"/>
      <c r="G28" s="65" t="s">
        <v>3</v>
      </c>
      <c r="H28" s="72" t="str">
        <f>IF(F28="","",ROUND(F28/100*$H$5,2))</f>
        <v/>
      </c>
      <c r="I28" s="65" t="s">
        <v>4</v>
      </c>
      <c r="K28" s="68" t="str">
        <f ca="1">IF(F28&lt;&gt;D79,"Wert prüfen!",IF(H61="","Inhalt der gelben Zellen kann angepasst werden.",""))</f>
        <v>Inhalt der gelben Zellen kann angepasst werden.</v>
      </c>
    </row>
    <row r="29" spans="1:11" ht="23.45" customHeight="1" x14ac:dyDescent="0.2">
      <c r="A29" s="66"/>
      <c r="B29" s="169" t="s">
        <v>34</v>
      </c>
      <c r="C29" s="169"/>
      <c r="D29" s="66"/>
      <c r="E29" s="66"/>
      <c r="F29" s="73">
        <f>IF(SUM(F17:F28)=0,0,SUM(F17:F28)+F14)</f>
        <v>0</v>
      </c>
      <c r="G29" s="66" t="s">
        <v>3</v>
      </c>
      <c r="H29" s="74" t="str">
        <f>IF(OR(COUNTIF(D17:D26,"")&gt;0,COUNTIF(F27:F28,"")&gt;0),"",SUM(H17:H28)+H14)</f>
        <v/>
      </c>
      <c r="I29" s="66" t="s">
        <v>4</v>
      </c>
      <c r="K29" s="68" t="str">
        <f>IF(H29="","Angaben offen!","")</f>
        <v>Angaben offen!</v>
      </c>
    </row>
    <row r="30" spans="1:11" ht="5.45" customHeight="1" x14ac:dyDescent="0.2">
      <c r="A30" s="65"/>
      <c r="B30" s="65"/>
      <c r="C30" s="65"/>
      <c r="D30" s="65"/>
      <c r="E30" s="65"/>
      <c r="F30" s="69"/>
      <c r="G30" s="65"/>
      <c r="H30" s="69"/>
      <c r="I30" s="65"/>
    </row>
    <row r="31" spans="1:11" x14ac:dyDescent="0.2">
      <c r="A31" s="65"/>
      <c r="B31" s="66" t="s">
        <v>35</v>
      </c>
      <c r="C31" s="65"/>
      <c r="D31" s="65"/>
      <c r="E31" s="65"/>
      <c r="F31" s="69"/>
      <c r="G31" s="65"/>
      <c r="H31" s="69"/>
      <c r="I31" s="65"/>
    </row>
    <row r="32" spans="1:11" x14ac:dyDescent="0.2">
      <c r="A32" s="65" t="s">
        <v>36</v>
      </c>
      <c r="B32" s="65" t="s">
        <v>37</v>
      </c>
      <c r="C32" s="65"/>
      <c r="D32" s="65"/>
      <c r="E32" s="65"/>
      <c r="F32" s="112"/>
      <c r="G32" s="65" t="s">
        <v>3</v>
      </c>
      <c r="H32" s="72" t="str">
        <f>IF(F32="","",ROUND(F32/100*$H$5,2))</f>
        <v/>
      </c>
      <c r="I32" s="65" t="s">
        <v>4</v>
      </c>
      <c r="K32" s="68" t="str">
        <f>IF(F32="","Bitte ausfüllen!","")</f>
        <v>Bitte ausfüllen!</v>
      </c>
    </row>
    <row r="33" spans="1:11" x14ac:dyDescent="0.2">
      <c r="A33" s="65" t="s">
        <v>38</v>
      </c>
      <c r="B33" s="65" t="s">
        <v>39</v>
      </c>
      <c r="C33" s="65"/>
      <c r="D33" s="65"/>
      <c r="E33" s="65"/>
      <c r="F33" s="112"/>
      <c r="G33" s="65" t="s">
        <v>3</v>
      </c>
      <c r="H33" s="72" t="str">
        <f>IF(F33="","",ROUND(F33/100*$H$5,2))</f>
        <v/>
      </c>
      <c r="I33" s="65" t="s">
        <v>4</v>
      </c>
      <c r="K33" s="68" t="str">
        <f>IF(F33="","Bitte ausfüllen!","")</f>
        <v>Bitte ausfüllen!</v>
      </c>
    </row>
    <row r="34" spans="1:11" ht="22.15" customHeight="1" x14ac:dyDescent="0.2">
      <c r="A34" s="66"/>
      <c r="B34" s="169" t="s">
        <v>40</v>
      </c>
      <c r="C34" s="169"/>
      <c r="D34" s="66"/>
      <c r="E34" s="66"/>
      <c r="F34" s="73">
        <f>IF(SUM(F32:F33)=0,0,SUM(F32:F33)+F29)</f>
        <v>0</v>
      </c>
      <c r="G34" s="66" t="s">
        <v>3</v>
      </c>
      <c r="H34" s="74" t="str">
        <f>IF(COUNTIF(H32:H33,"")&gt;0,"",SUM(H32:H33)+H29)</f>
        <v/>
      </c>
      <c r="I34" s="66" t="s">
        <v>4</v>
      </c>
      <c r="K34" s="68" t="str">
        <f>IF(H34="","Angaben offen!","")</f>
        <v>Angaben offen!</v>
      </c>
    </row>
    <row r="35" spans="1:11" ht="5.45" customHeight="1" x14ac:dyDescent="0.2">
      <c r="A35" s="65"/>
      <c r="B35" s="65"/>
      <c r="C35" s="65"/>
      <c r="D35" s="65"/>
      <c r="E35" s="65"/>
      <c r="F35" s="69"/>
      <c r="G35" s="65"/>
      <c r="H35" s="69"/>
      <c r="I35" s="65"/>
    </row>
    <row r="36" spans="1:11" x14ac:dyDescent="0.2">
      <c r="A36" s="66" t="s">
        <v>41</v>
      </c>
      <c r="B36" s="66" t="s">
        <v>42</v>
      </c>
      <c r="C36" s="66"/>
      <c r="D36" s="66"/>
      <c r="E36" s="66"/>
      <c r="F36" s="70"/>
      <c r="G36" s="66"/>
      <c r="H36" s="70"/>
      <c r="I36" s="66"/>
    </row>
    <row r="37" spans="1:11" x14ac:dyDescent="0.2">
      <c r="A37" s="65" t="s">
        <v>43</v>
      </c>
      <c r="B37" s="65" t="s">
        <v>44</v>
      </c>
      <c r="C37" s="65"/>
      <c r="D37" s="65"/>
      <c r="E37" s="65"/>
      <c r="F37" s="69"/>
      <c r="G37" s="65"/>
      <c r="H37" s="69"/>
      <c r="I37" s="65"/>
    </row>
    <row r="38" spans="1:11" x14ac:dyDescent="0.2">
      <c r="A38" s="65"/>
      <c r="B38" s="65" t="s">
        <v>45</v>
      </c>
      <c r="C38" s="65"/>
      <c r="D38" s="65"/>
      <c r="E38" s="65"/>
      <c r="F38" s="112"/>
      <c r="G38" s="65" t="s">
        <v>3</v>
      </c>
      <c r="H38" s="72" t="str">
        <f>IF(F38="","",ROUND(F38/100*$H$5,2))</f>
        <v/>
      </c>
      <c r="I38" s="65" t="s">
        <v>4</v>
      </c>
      <c r="K38" s="68" t="str">
        <f>IF(F38="","Bitte ausfüllen!","")</f>
        <v>Bitte ausfüllen!</v>
      </c>
    </row>
    <row r="39" spans="1:11" x14ac:dyDescent="0.2">
      <c r="A39" s="65" t="s">
        <v>46</v>
      </c>
      <c r="B39" s="65" t="s">
        <v>47</v>
      </c>
      <c r="C39" s="65"/>
      <c r="D39" s="65"/>
      <c r="E39" s="65"/>
      <c r="F39" s="112"/>
      <c r="G39" s="65" t="s">
        <v>3</v>
      </c>
      <c r="H39" s="72" t="str">
        <f>IF(F39="","",ROUND(F39/100*$H$5,2))</f>
        <v/>
      </c>
      <c r="I39" s="65" t="s">
        <v>4</v>
      </c>
      <c r="K39" s="68" t="str">
        <f>IF(F39="","Bitte ausfüllen!","")</f>
        <v>Bitte ausfüllen!</v>
      </c>
    </row>
    <row r="40" spans="1:11" x14ac:dyDescent="0.2">
      <c r="A40" s="65" t="s">
        <v>48</v>
      </c>
      <c r="B40" s="65" t="s">
        <v>49</v>
      </c>
      <c r="C40" s="65"/>
      <c r="D40" s="65"/>
      <c r="E40" s="65"/>
      <c r="F40" s="112"/>
      <c r="G40" s="65" t="s">
        <v>3</v>
      </c>
      <c r="H40" s="72" t="str">
        <f>IF(F40="","",ROUND(F40/100*$H$5,2))</f>
        <v/>
      </c>
      <c r="I40" s="65" t="s">
        <v>4</v>
      </c>
      <c r="K40" s="68" t="str">
        <f>IF(F40="","Bitte ausfüllen!","")</f>
        <v>Bitte ausfüllen!</v>
      </c>
    </row>
    <row r="41" spans="1:11" x14ac:dyDescent="0.2">
      <c r="A41" s="65" t="s">
        <v>50</v>
      </c>
      <c r="B41" s="65" t="s">
        <v>51</v>
      </c>
      <c r="C41" s="65"/>
      <c r="D41" s="65"/>
      <c r="E41" s="65"/>
      <c r="F41" s="112"/>
      <c r="G41" s="65" t="s">
        <v>3</v>
      </c>
      <c r="H41" s="72" t="str">
        <f>IF(F41="","",ROUND(F41/100*$H$5,2))</f>
        <v/>
      </c>
      <c r="I41" s="65" t="s">
        <v>4</v>
      </c>
      <c r="K41" s="68" t="str">
        <f>IF(F41="","Bitte ausfüllen!","")</f>
        <v>Bitte ausfüllen!</v>
      </c>
    </row>
    <row r="42" spans="1:11" ht="23.45" customHeight="1" x14ac:dyDescent="0.2">
      <c r="A42" s="66"/>
      <c r="B42" s="169" t="s">
        <v>52</v>
      </c>
      <c r="C42" s="169"/>
      <c r="D42" s="66"/>
      <c r="E42" s="66"/>
      <c r="F42" s="73">
        <f>IF(SUM(F38:F41)=0,0,SUM(F38:F41))</f>
        <v>0</v>
      </c>
      <c r="G42" s="66" t="s">
        <v>3</v>
      </c>
      <c r="H42" s="74" t="str">
        <f>IF(COUNTIF(H38:H41,"")&gt;0,"",SUM(H38:H41))</f>
        <v/>
      </c>
      <c r="I42" s="66" t="s">
        <v>4</v>
      </c>
      <c r="K42" s="68" t="str">
        <f>IF(H42="","Angaben offen!","")</f>
        <v>Angaben offen!</v>
      </c>
    </row>
    <row r="43" spans="1:11" ht="5.45" customHeight="1" x14ac:dyDescent="0.2">
      <c r="A43" s="65"/>
      <c r="B43" s="65"/>
      <c r="C43" s="65"/>
      <c r="D43" s="65"/>
      <c r="E43" s="65"/>
      <c r="F43" s="69"/>
      <c r="G43" s="65"/>
      <c r="H43" s="69"/>
      <c r="I43" s="65"/>
    </row>
    <row r="44" spans="1:11" x14ac:dyDescent="0.2">
      <c r="A44" s="66" t="s">
        <v>53</v>
      </c>
      <c r="B44" s="66" t="s">
        <v>54</v>
      </c>
      <c r="C44" s="66"/>
      <c r="D44" s="66"/>
      <c r="E44" s="66"/>
      <c r="F44" s="66"/>
      <c r="G44" s="66"/>
      <c r="H44" s="66"/>
      <c r="I44" s="66"/>
    </row>
    <row r="45" spans="1:11" x14ac:dyDescent="0.2">
      <c r="A45" s="65" t="s">
        <v>55</v>
      </c>
      <c r="B45" s="65" t="s">
        <v>56</v>
      </c>
      <c r="C45" s="65"/>
      <c r="D45" s="65"/>
      <c r="E45" s="65"/>
      <c r="F45" s="65"/>
      <c r="G45" s="65"/>
      <c r="H45" s="65"/>
      <c r="I45" s="65"/>
    </row>
    <row r="46" spans="1:11" x14ac:dyDescent="0.2">
      <c r="A46" s="65" t="s">
        <v>57</v>
      </c>
      <c r="B46" s="65"/>
      <c r="C46" s="65" t="s">
        <v>58</v>
      </c>
      <c r="D46" s="65"/>
      <c r="E46" s="65"/>
      <c r="F46" s="112"/>
      <c r="G46" s="65" t="s">
        <v>3</v>
      </c>
      <c r="H46" s="72" t="str">
        <f>IF(F46="","",ROUND(F46/100*$H$5,2))</f>
        <v/>
      </c>
      <c r="I46" s="65" t="s">
        <v>4</v>
      </c>
      <c r="K46" s="68" t="str">
        <f>IF(F46="","Bitte ausfüllen!","")</f>
        <v>Bitte ausfüllen!</v>
      </c>
    </row>
    <row r="47" spans="1:11" x14ac:dyDescent="0.2">
      <c r="A47" s="65" t="s">
        <v>59</v>
      </c>
      <c r="B47" s="65"/>
      <c r="C47" s="65" t="s">
        <v>120</v>
      </c>
      <c r="D47" s="65"/>
      <c r="E47" s="65"/>
      <c r="F47" s="112"/>
      <c r="G47" s="65" t="s">
        <v>3</v>
      </c>
      <c r="H47" s="72" t="str">
        <f>IF(F47="","",ROUND(F47/100*$H$5,2))</f>
        <v/>
      </c>
      <c r="I47" s="65" t="s">
        <v>4</v>
      </c>
      <c r="K47" s="68" t="str">
        <f>IF(F47="","Bitte ausfüllen!","")</f>
        <v>Bitte ausfüllen!</v>
      </c>
    </row>
    <row r="48" spans="1:11" x14ac:dyDescent="0.2">
      <c r="A48" s="65" t="s">
        <v>60</v>
      </c>
      <c r="B48" s="65" t="s">
        <v>61</v>
      </c>
      <c r="C48" s="65"/>
      <c r="D48" s="65"/>
      <c r="E48" s="65"/>
      <c r="F48" s="112"/>
      <c r="G48" s="65" t="s">
        <v>3</v>
      </c>
      <c r="H48" s="72" t="str">
        <f>IF(F48="","",ROUND(F48/100*$H$5,2))</f>
        <v/>
      </c>
      <c r="I48" s="65" t="s">
        <v>4</v>
      </c>
      <c r="K48" s="68" t="str">
        <f>IF(F48="","Bitte ausfüllen!","")</f>
        <v>Bitte ausfüllen!</v>
      </c>
    </row>
    <row r="49" spans="1:11" x14ac:dyDescent="0.2">
      <c r="A49" s="65" t="s">
        <v>62</v>
      </c>
      <c r="B49" s="65" t="s">
        <v>63</v>
      </c>
      <c r="C49" s="65"/>
      <c r="D49" s="65"/>
      <c r="E49" s="65"/>
      <c r="F49" s="65"/>
      <c r="G49" s="65"/>
      <c r="H49" s="65"/>
      <c r="I49" s="65"/>
    </row>
    <row r="50" spans="1:11" x14ac:dyDescent="0.2">
      <c r="A50" s="65" t="s">
        <v>64</v>
      </c>
      <c r="B50" s="65"/>
      <c r="C50" s="65" t="s">
        <v>65</v>
      </c>
      <c r="D50" s="65"/>
      <c r="E50" s="65"/>
      <c r="F50" s="112"/>
      <c r="G50" s="65" t="s">
        <v>3</v>
      </c>
      <c r="H50" s="72" t="str">
        <f t="shared" ref="H50:H56" si="0">IF(F50="","",ROUND(F50/100*$H$5,2))</f>
        <v/>
      </c>
      <c r="I50" s="65" t="s">
        <v>4</v>
      </c>
      <c r="K50" s="68" t="str">
        <f t="shared" ref="K50:K56" si="1">IF(F50="","Bitte ausfüllen!","")</f>
        <v>Bitte ausfüllen!</v>
      </c>
    </row>
    <row r="51" spans="1:11" x14ac:dyDescent="0.2">
      <c r="A51" s="65" t="s">
        <v>66</v>
      </c>
      <c r="B51" s="65"/>
      <c r="C51" s="65" t="s">
        <v>67</v>
      </c>
      <c r="D51" s="65"/>
      <c r="E51" s="65"/>
      <c r="F51" s="112"/>
      <c r="G51" s="65" t="s">
        <v>3</v>
      </c>
      <c r="H51" s="72" t="str">
        <f t="shared" si="0"/>
        <v/>
      </c>
      <c r="I51" s="65" t="s">
        <v>4</v>
      </c>
      <c r="K51" s="68" t="str">
        <f t="shared" si="1"/>
        <v>Bitte ausfüllen!</v>
      </c>
    </row>
    <row r="52" spans="1:11" x14ac:dyDescent="0.2">
      <c r="A52" s="65" t="s">
        <v>68</v>
      </c>
      <c r="B52" s="65" t="s">
        <v>69</v>
      </c>
      <c r="C52" s="65"/>
      <c r="D52" s="65"/>
      <c r="E52" s="65"/>
      <c r="F52" s="112"/>
      <c r="G52" s="65" t="s">
        <v>3</v>
      </c>
      <c r="H52" s="72" t="str">
        <f t="shared" si="0"/>
        <v/>
      </c>
      <c r="I52" s="65" t="s">
        <v>4</v>
      </c>
      <c r="K52" s="68" t="str">
        <f t="shared" si="1"/>
        <v>Bitte ausfüllen!</v>
      </c>
    </row>
    <row r="53" spans="1:11" x14ac:dyDescent="0.2">
      <c r="A53" s="65" t="s">
        <v>70</v>
      </c>
      <c r="B53" s="65" t="s">
        <v>71</v>
      </c>
      <c r="C53" s="65"/>
      <c r="D53" s="65"/>
      <c r="E53" s="65"/>
      <c r="F53" s="112"/>
      <c r="G53" s="65" t="s">
        <v>3</v>
      </c>
      <c r="H53" s="72" t="str">
        <f t="shared" si="0"/>
        <v/>
      </c>
      <c r="I53" s="65" t="s">
        <v>4</v>
      </c>
      <c r="K53" s="68" t="str">
        <f t="shared" si="1"/>
        <v>Bitte ausfüllen!</v>
      </c>
    </row>
    <row r="54" spans="1:11" x14ac:dyDescent="0.2">
      <c r="A54" s="65" t="s">
        <v>72</v>
      </c>
      <c r="B54" s="65" t="s">
        <v>73</v>
      </c>
      <c r="C54" s="65"/>
      <c r="D54" s="65"/>
      <c r="E54" s="65"/>
      <c r="F54" s="112"/>
      <c r="G54" s="65" t="s">
        <v>3</v>
      </c>
      <c r="H54" s="72" t="str">
        <f t="shared" si="0"/>
        <v/>
      </c>
      <c r="I54" s="65" t="s">
        <v>4</v>
      </c>
      <c r="K54" s="68" t="str">
        <f t="shared" si="1"/>
        <v>Bitte ausfüllen!</v>
      </c>
    </row>
    <row r="55" spans="1:11" x14ac:dyDescent="0.2">
      <c r="A55" s="65" t="s">
        <v>74</v>
      </c>
      <c r="B55" s="65" t="s">
        <v>75</v>
      </c>
      <c r="C55" s="65"/>
      <c r="D55" s="65"/>
      <c r="E55" s="65"/>
      <c r="F55" s="112"/>
      <c r="G55" s="65" t="s">
        <v>3</v>
      </c>
      <c r="H55" s="72" t="str">
        <f t="shared" si="0"/>
        <v/>
      </c>
      <c r="I55" s="65" t="s">
        <v>4</v>
      </c>
      <c r="K55" s="68" t="str">
        <f t="shared" si="1"/>
        <v>Bitte ausfüllen!</v>
      </c>
    </row>
    <row r="56" spans="1:11" x14ac:dyDescent="0.2">
      <c r="A56" s="65" t="s">
        <v>76</v>
      </c>
      <c r="B56" s="65" t="s">
        <v>77</v>
      </c>
      <c r="C56" s="65"/>
      <c r="D56" s="65"/>
      <c r="E56" s="65"/>
      <c r="F56" s="112"/>
      <c r="G56" s="65" t="s">
        <v>3</v>
      </c>
      <c r="H56" s="72" t="str">
        <f t="shared" si="0"/>
        <v/>
      </c>
      <c r="I56" s="65" t="s">
        <v>4</v>
      </c>
      <c r="K56" s="68" t="str">
        <f t="shared" si="1"/>
        <v>Bitte ausfüllen!</v>
      </c>
    </row>
    <row r="57" spans="1:11" ht="23.45" customHeight="1" x14ac:dyDescent="0.2">
      <c r="A57" s="66"/>
      <c r="B57" s="169" t="s">
        <v>78</v>
      </c>
      <c r="C57" s="169"/>
      <c r="D57" s="66"/>
      <c r="E57" s="66"/>
      <c r="F57" s="73">
        <f>IF(SUM(F45:F56)=0,0,SUM(F45:F56))</f>
        <v>0</v>
      </c>
      <c r="G57" s="66" t="s">
        <v>3</v>
      </c>
      <c r="H57" s="74" t="str">
        <f>IF(COUNTIF(H46:H56,"")&gt;1,"",SUM(H46:H56))</f>
        <v/>
      </c>
      <c r="I57" s="66" t="s">
        <v>4</v>
      </c>
      <c r="K57" s="68" t="str">
        <f>IF(H57="","Angaben offen!","")</f>
        <v>Angaben offen!</v>
      </c>
    </row>
    <row r="58" spans="1:11" ht="6.6" customHeight="1" x14ac:dyDescent="0.2">
      <c r="A58" s="65"/>
      <c r="B58" s="65"/>
      <c r="C58" s="65"/>
      <c r="D58" s="65"/>
      <c r="E58" s="65"/>
      <c r="F58" s="69"/>
      <c r="G58" s="65"/>
      <c r="H58" s="69"/>
      <c r="I58" s="65"/>
    </row>
    <row r="59" spans="1:11" x14ac:dyDescent="0.2">
      <c r="A59" s="66" t="s">
        <v>79</v>
      </c>
      <c r="B59" s="168" t="s">
        <v>80</v>
      </c>
      <c r="C59" s="168"/>
      <c r="D59" s="66"/>
      <c r="E59" s="66"/>
      <c r="F59" s="78"/>
      <c r="G59" s="66" t="s">
        <v>3</v>
      </c>
      <c r="H59" s="70" t="str">
        <f>IF(H57="","",H34+H42+H57+H5)</f>
        <v/>
      </c>
      <c r="I59" s="66" t="s">
        <v>4</v>
      </c>
    </row>
    <row r="60" spans="1:11" x14ac:dyDescent="0.2">
      <c r="A60" s="66" t="s">
        <v>81</v>
      </c>
      <c r="B60" s="66" t="s">
        <v>82</v>
      </c>
      <c r="C60" s="66"/>
      <c r="D60" s="66"/>
      <c r="E60" s="66"/>
      <c r="F60" s="12"/>
      <c r="G60" s="66" t="s">
        <v>3</v>
      </c>
      <c r="H60" s="74" t="str">
        <f>IF(F60="","",ROUND(F60/100*H59,2))</f>
        <v/>
      </c>
      <c r="I60" s="66" t="s">
        <v>4</v>
      </c>
      <c r="K60" s="68" t="str">
        <f>IF(F60="","Bitte ausfüllen!","")</f>
        <v>Bitte ausfüllen!</v>
      </c>
    </row>
    <row r="61" spans="1:11" x14ac:dyDescent="0.2">
      <c r="A61" s="66"/>
      <c r="B61" s="66" t="s">
        <v>83</v>
      </c>
      <c r="C61" s="66"/>
      <c r="D61" s="66"/>
      <c r="E61" s="66"/>
      <c r="F61" s="73">
        <f ca="1">IF(H61="",0,H61/H5*100)</f>
        <v>0</v>
      </c>
      <c r="G61" s="66" t="s">
        <v>3</v>
      </c>
      <c r="H61" s="74" t="str">
        <f ca="1">IF(SUM(COUNTIF(INDIRECT({"H5","F9:F13","D17:D26","F27:F28","F32:F33","F38:F41","F46:F48","F50:F56","F60","H65:H68"}),""))&gt;0,"",H59+H60)</f>
        <v/>
      </c>
      <c r="I61" s="66" t="s">
        <v>4</v>
      </c>
      <c r="K61" s="68" t="str">
        <f ca="1">IF(SUM(COUNTIF(INDIRECT({"H5","F9:F13","D17:D26","F27:F28","F32:F33","F38:F41","F46:F48","F50:F56","F60","H65:H68"}),""))&gt;0,SUM(COUNTIF(INDIRECT({"H5","F9:F13","D17:D26","F27:F28","F32:F33","F38:F41","F46:F48","F50:F56","F60","H65:H68"}),"")) &amp;" Zelle(n) ohne Wert!","")</f>
        <v>38 Zelle(n) ohne Wert!</v>
      </c>
    </row>
    <row r="62" spans="1:11" x14ac:dyDescent="0.2">
      <c r="A62" s="65"/>
      <c r="B62" s="65" t="s">
        <v>84</v>
      </c>
      <c r="C62" s="65"/>
      <c r="D62" s="65"/>
      <c r="E62" s="65"/>
      <c r="F62" s="73">
        <f ca="1">IF(F61=0,0,F61-F5)</f>
        <v>0</v>
      </c>
      <c r="G62" s="65" t="s">
        <v>3</v>
      </c>
      <c r="H62" s="65"/>
      <c r="I62" s="65"/>
      <c r="K62" s="68" t="str">
        <f ca="1">IF(F62&lt;70,"Bitte prüfen gemäß Aufforderung!","")</f>
        <v>Bitte prüfen gemäß Aufforderung!</v>
      </c>
    </row>
    <row r="63" spans="1:11" ht="5.45" customHeight="1" x14ac:dyDescent="0.2">
      <c r="A63" s="65"/>
      <c r="B63" s="66"/>
      <c r="C63" s="65"/>
      <c r="D63" s="65"/>
      <c r="E63" s="65"/>
      <c r="F63" s="78"/>
      <c r="G63" s="65"/>
      <c r="H63" s="70"/>
    </row>
    <row r="64" spans="1:11" x14ac:dyDescent="0.2">
      <c r="B64" s="66" t="s">
        <v>85</v>
      </c>
      <c r="D64" s="66"/>
      <c r="E64" s="66"/>
      <c r="G64" s="66"/>
      <c r="H64" s="70" t="s">
        <v>86</v>
      </c>
      <c r="I64" s="66"/>
    </row>
    <row r="65" spans="1:15" x14ac:dyDescent="0.2">
      <c r="B65" s="65" t="s">
        <v>87</v>
      </c>
      <c r="D65" s="65"/>
      <c r="E65" s="65"/>
      <c r="G65" s="79"/>
      <c r="H65" s="113"/>
      <c r="I65" s="79"/>
      <c r="K65" s="68" t="str">
        <f>IF(H65="","Bitte ausfüllen!","")</f>
        <v>Bitte ausfüllen!</v>
      </c>
    </row>
    <row r="66" spans="1:15" x14ac:dyDescent="0.2">
      <c r="B66" s="65" t="s">
        <v>88</v>
      </c>
      <c r="D66" s="65"/>
      <c r="E66" s="65"/>
      <c r="G66" s="79"/>
      <c r="H66" s="114"/>
      <c r="I66" s="79"/>
      <c r="K66" s="68" t="str">
        <f>IF(H66="","Bitte ausfüllen!","")</f>
        <v>Bitte ausfüllen!</v>
      </c>
    </row>
    <row r="67" spans="1:15" x14ac:dyDescent="0.2">
      <c r="B67" s="65" t="s">
        <v>89</v>
      </c>
      <c r="D67" s="65"/>
      <c r="E67" s="65"/>
      <c r="G67" s="79"/>
      <c r="H67" s="115"/>
      <c r="I67" s="79"/>
      <c r="K67" s="68" t="str">
        <f>IF(H67="","Bitte ausfüllen!","")</f>
        <v>Bitte ausfüllen!</v>
      </c>
    </row>
    <row r="68" spans="1:15" x14ac:dyDescent="0.2">
      <c r="B68" s="65" t="s">
        <v>90</v>
      </c>
      <c r="D68" s="65"/>
      <c r="E68" s="65"/>
      <c r="G68" s="79"/>
      <c r="H68" s="114"/>
      <c r="I68" s="79"/>
      <c r="K68" s="68" t="str">
        <f>IF(H68="","Bitte ausfüllen!","")</f>
        <v>Bitte ausfüllen!</v>
      </c>
    </row>
    <row r="69" spans="1:15" ht="5.45" customHeight="1" x14ac:dyDescent="0.2"/>
    <row r="70" spans="1:15" ht="5.45" customHeight="1" x14ac:dyDescent="0.2">
      <c r="C70" s="50"/>
      <c r="D70" s="5"/>
    </row>
    <row r="71" spans="1:15" ht="15.95" customHeight="1" x14ac:dyDescent="0.2">
      <c r="A71" s="159" t="s">
        <v>201</v>
      </c>
      <c r="B71" s="159"/>
      <c r="C71" s="159"/>
      <c r="D71" s="159" t="s">
        <v>582</v>
      </c>
      <c r="F71" s="161" t="s">
        <v>133</v>
      </c>
      <c r="G71" s="162"/>
      <c r="H71" s="163"/>
      <c r="L71" s="28"/>
      <c r="M71" s="28"/>
      <c r="N71" s="28"/>
      <c r="O71" s="28"/>
    </row>
    <row r="72" spans="1:15" ht="15.95" customHeight="1" x14ac:dyDescent="0.2">
      <c r="A72" s="160"/>
      <c r="B72" s="160"/>
      <c r="C72" s="160"/>
      <c r="D72" s="160"/>
      <c r="F72" s="164"/>
      <c r="G72" s="165"/>
      <c r="H72" s="166"/>
      <c r="I72" s="66"/>
      <c r="J72" s="66"/>
      <c r="K72" s="66"/>
      <c r="L72" s="28"/>
      <c r="M72" s="28"/>
      <c r="N72" s="28"/>
      <c r="O72" s="28"/>
    </row>
    <row r="73" spans="1:15" ht="19.899999999999999" customHeight="1" x14ac:dyDescent="0.2">
      <c r="A73" s="170">
        <v>1</v>
      </c>
      <c r="B73" s="170"/>
      <c r="C73" s="13" t="s">
        <v>128</v>
      </c>
      <c r="D73" s="52"/>
      <c r="F73" s="171" t="s">
        <v>573</v>
      </c>
      <c r="G73" s="171"/>
      <c r="H73" s="171"/>
    </row>
    <row r="74" spans="1:15" ht="19.899999999999999" customHeight="1" x14ac:dyDescent="0.2">
      <c r="A74" s="170">
        <v>2</v>
      </c>
      <c r="B74" s="170"/>
      <c r="C74" s="13" t="s">
        <v>129</v>
      </c>
      <c r="D74" s="52"/>
    </row>
    <row r="75" spans="1:15" ht="25.5" customHeight="1" x14ac:dyDescent="0.2">
      <c r="A75" s="170">
        <v>3</v>
      </c>
      <c r="B75" s="170"/>
      <c r="C75" s="13" t="s">
        <v>130</v>
      </c>
      <c r="D75" s="52"/>
    </row>
    <row r="76" spans="1:15" ht="25.5" customHeight="1" x14ac:dyDescent="0.2">
      <c r="A76" s="170">
        <v>4</v>
      </c>
      <c r="B76" s="170"/>
      <c r="C76" s="13" t="s">
        <v>131</v>
      </c>
      <c r="D76" s="52"/>
    </row>
    <row r="77" spans="1:15" ht="25.5" customHeight="1" x14ac:dyDescent="0.2">
      <c r="A77" s="170">
        <v>5</v>
      </c>
      <c r="B77" s="170"/>
      <c r="C77" s="13" t="s">
        <v>136</v>
      </c>
      <c r="D77" s="52"/>
    </row>
    <row r="78" spans="1:15" ht="25.5" customHeight="1" x14ac:dyDescent="0.2">
      <c r="A78" s="170">
        <v>6</v>
      </c>
      <c r="B78" s="170"/>
      <c r="C78" s="13" t="s">
        <v>118</v>
      </c>
      <c r="D78" s="52"/>
    </row>
    <row r="79" spans="1:15" ht="25.5" customHeight="1" x14ac:dyDescent="0.2">
      <c r="A79" s="170">
        <v>7</v>
      </c>
      <c r="B79" s="170"/>
      <c r="C79" s="13" t="s">
        <v>132</v>
      </c>
      <c r="D79" s="52"/>
    </row>
  </sheetData>
  <mergeCells count="18">
    <mergeCell ref="A78:B78"/>
    <mergeCell ref="A79:B79"/>
    <mergeCell ref="F73:H73"/>
    <mergeCell ref="A73:B73"/>
    <mergeCell ref="A74:B74"/>
    <mergeCell ref="A75:B75"/>
    <mergeCell ref="A76:B76"/>
    <mergeCell ref="A77:B77"/>
    <mergeCell ref="A71:C72"/>
    <mergeCell ref="D71:D72"/>
    <mergeCell ref="F71:H72"/>
    <mergeCell ref="E1:I2"/>
    <mergeCell ref="A3:I3"/>
    <mergeCell ref="B59:C59"/>
    <mergeCell ref="B29:C29"/>
    <mergeCell ref="B34:C34"/>
    <mergeCell ref="B42:C42"/>
    <mergeCell ref="B57:C57"/>
  </mergeCells>
  <phoneticPr fontId="3" type="noConversion"/>
  <dataValidations count="1">
    <dataValidation type="decimal" errorStyle="warning" allowBlank="1" showInputMessage="1" showErrorMessage="1" error="Bitte überprüfen Sie Ihre Eingaben." sqref="C25" xr:uid="{00000000-0002-0000-0200-000000000000}">
      <formula1>8.5</formula1>
      <formula2>84</formula2>
    </dataValidation>
  </dataValidations>
  <hyperlinks>
    <hyperlink ref="K1" location="Inhaltsverzeichnis!A1" display="Zurück zum Inhaltsverzeichnis" xr:uid="{00000000-0004-0000-02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&amp;R&amp;A&amp;LAmt Neustadt (Dosse)&amp;C&amp;P von &amp;N</oddFooter>
  </headerFooter>
  <ignoredErrors>
    <ignoredError sqref="A11:A1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ltText="Hinweis">
                <anchor moveWithCells="1">
                  <from>
                    <xdr:col>2</xdr:col>
                    <xdr:colOff>2914650</xdr:colOff>
                    <xdr:row>0</xdr:row>
                    <xdr:rowOff>123825</xdr:rowOff>
                  </from>
                  <to>
                    <xdr:col>3</xdr:col>
                    <xdr:colOff>552450</xdr:colOff>
                    <xdr:row>0</xdr:row>
                    <xdr:rowOff>409575</xdr:rowOff>
                  </to>
                </anchor>
              </controlPr>
            </control>
          </mc:Choice>
        </mc:AlternateContent>
        <mc:AlternateContent xmlns:mc="http://schemas.openxmlformats.org/markup-compatibility/2006">
          <mc:Choice Requires="x14">
            <control shapeId="26628" r:id="rId5" name="Check Box 4">
              <controlPr defaultSize="0" autoFill="0" autoLine="0" autoPict="0" altText="Hinweis">
                <anchor moveWithCells="1">
                  <from>
                    <xdr:col>2</xdr:col>
                    <xdr:colOff>2914650</xdr:colOff>
                    <xdr:row>0</xdr:row>
                    <xdr:rowOff>428625</xdr:rowOff>
                  </from>
                  <to>
                    <xdr:col>3</xdr:col>
                    <xdr:colOff>552450</xdr:colOff>
                    <xdr:row>1</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9"/>
  </sheetPr>
  <dimension ref="A1:N79"/>
  <sheetViews>
    <sheetView showGridLines="0" topLeftCell="A16" zoomScaleNormal="100" zoomScaleSheetLayoutView="85" workbookViewId="0">
      <selection activeCell="O35" sqref="O35"/>
    </sheetView>
  </sheetViews>
  <sheetFormatPr baseColWidth="10" defaultColWidth="11.42578125" defaultRowHeight="10.5" x14ac:dyDescent="0.2"/>
  <cols>
    <col min="1" max="1" width="6.42578125" style="4" customWidth="1"/>
    <col min="2" max="2" width="2.7109375" style="4" customWidth="1"/>
    <col min="3" max="3" width="45.5703125" style="4" customWidth="1"/>
    <col min="4" max="4" width="9" style="4" customWidth="1"/>
    <col min="5" max="5" width="2.5703125" style="4" customWidth="1"/>
    <col min="6" max="6" width="11.42578125" style="4"/>
    <col min="7" max="7" width="2.85546875" style="4" customWidth="1"/>
    <col min="8" max="8" width="11.42578125" style="4"/>
    <col min="9" max="9" width="2.7109375" style="4" bestFit="1" customWidth="1"/>
    <col min="10" max="10" width="1.28515625" style="4" customWidth="1"/>
    <col min="11" max="11" width="18.28515625" style="4" bestFit="1" customWidth="1"/>
    <col min="12" max="16384" width="11.42578125" style="4"/>
  </cols>
  <sheetData>
    <row r="1" spans="1:11" ht="34.15" customHeight="1" x14ac:dyDescent="0.2">
      <c r="A1" s="64" t="str">
        <f ca="1">IF(H61&lt;&gt;"","","Bitte alle gelben Zellen ausfüllen.")</f>
        <v>Bitte alle gelben Zellen ausfüllen.</v>
      </c>
      <c r="D1" s="42" t="b">
        <v>0</v>
      </c>
      <c r="E1" s="150"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50"/>
      <c r="G1" s="150"/>
      <c r="H1" s="150"/>
      <c r="I1" s="150"/>
      <c r="K1" s="6" t="s">
        <v>100</v>
      </c>
    </row>
    <row r="2" spans="1:11" ht="34.5" customHeight="1" x14ac:dyDescent="0.2">
      <c r="A2" s="4" t="s">
        <v>103</v>
      </c>
      <c r="C2" s="5" t="str">
        <f>IF(Inhaltsverzeichnis!$C$3="", "",Inhaltsverzeichnis!$C$3)</f>
        <v/>
      </c>
      <c r="D2" s="42" t="b">
        <v>0</v>
      </c>
      <c r="E2" s="150"/>
      <c r="F2" s="150"/>
      <c r="G2" s="150"/>
      <c r="H2" s="150"/>
      <c r="I2" s="150"/>
    </row>
    <row r="3" spans="1:11" s="3" customFormat="1" ht="12.75" x14ac:dyDescent="0.2">
      <c r="A3" s="167" t="s">
        <v>101</v>
      </c>
      <c r="B3" s="167"/>
      <c r="C3" s="167"/>
      <c r="D3" s="167"/>
      <c r="E3" s="167"/>
      <c r="F3" s="167"/>
      <c r="G3" s="167"/>
      <c r="H3" s="167"/>
      <c r="I3" s="167"/>
    </row>
    <row r="4" spans="1:11" x14ac:dyDescent="0.2">
      <c r="A4" s="65"/>
      <c r="B4" s="65"/>
      <c r="C4" s="65"/>
      <c r="D4" s="65"/>
      <c r="E4" s="65"/>
      <c r="F4" s="65"/>
      <c r="G4" s="65"/>
      <c r="H4" s="65"/>
      <c r="I4" s="65"/>
    </row>
    <row r="5" spans="1:11" x14ac:dyDescent="0.2">
      <c r="A5" s="66" t="s">
        <v>1</v>
      </c>
      <c r="B5" s="66" t="s">
        <v>2</v>
      </c>
      <c r="C5" s="66"/>
      <c r="D5" s="66"/>
      <c r="E5" s="66"/>
      <c r="F5" s="67"/>
      <c r="G5" s="66"/>
      <c r="H5" s="11"/>
      <c r="I5" s="66" t="s">
        <v>4</v>
      </c>
      <c r="K5" s="68" t="str">
        <f>IF(H5="","Bitte ausfüllen!",IF(H61="","Der voreingetragene produktive Stundenlohn ist eine Mindestanforderung. Inhalt der gelben Zellen kann angepasst werden.",""))</f>
        <v>Bitte ausfüllen!</v>
      </c>
    </row>
    <row r="6" spans="1:11" x14ac:dyDescent="0.2">
      <c r="A6" s="65"/>
      <c r="B6" s="65"/>
      <c r="C6" s="65"/>
      <c r="D6" s="65"/>
      <c r="E6" s="65"/>
      <c r="F6" s="69"/>
      <c r="G6" s="65"/>
      <c r="H6" s="69"/>
      <c r="I6" s="65"/>
    </row>
    <row r="7" spans="1:11" x14ac:dyDescent="0.2">
      <c r="A7" s="66" t="s">
        <v>5</v>
      </c>
      <c r="B7" s="66" t="s">
        <v>6</v>
      </c>
      <c r="C7" s="66"/>
      <c r="D7" s="66"/>
      <c r="E7" s="66"/>
      <c r="F7" s="70"/>
      <c r="G7" s="66"/>
      <c r="H7" s="70"/>
      <c r="I7" s="66"/>
    </row>
    <row r="8" spans="1:11" ht="14.25" x14ac:dyDescent="0.2">
      <c r="A8" s="65" t="s">
        <v>7</v>
      </c>
      <c r="B8" s="65" t="s">
        <v>8</v>
      </c>
      <c r="C8" s="65"/>
      <c r="D8" s="65"/>
      <c r="E8" s="65"/>
      <c r="F8" s="70"/>
      <c r="G8" s="70"/>
      <c r="H8" s="70"/>
      <c r="I8" s="70"/>
      <c r="K8" s="71"/>
    </row>
    <row r="9" spans="1:11" x14ac:dyDescent="0.2">
      <c r="A9" s="65" t="s">
        <v>9</v>
      </c>
      <c r="B9" s="65"/>
      <c r="C9" s="65" t="s">
        <v>10</v>
      </c>
      <c r="D9" s="65"/>
      <c r="E9" s="65"/>
      <c r="F9" s="112"/>
      <c r="G9" s="65" t="s">
        <v>3</v>
      </c>
      <c r="H9" s="72" t="str">
        <f>IF(F9="","",ROUND(F9/100*$H$5,2))</f>
        <v/>
      </c>
      <c r="I9" s="65" t="s">
        <v>4</v>
      </c>
      <c r="K9" s="68" t="str">
        <f>IF(F9="","Bitte ausfüllen!","")</f>
        <v>Bitte ausfüllen!</v>
      </c>
    </row>
    <row r="10" spans="1:11" x14ac:dyDescent="0.2">
      <c r="A10" s="65" t="s">
        <v>11</v>
      </c>
      <c r="B10" s="65"/>
      <c r="C10" s="65" t="s">
        <v>12</v>
      </c>
      <c r="D10" s="65"/>
      <c r="E10" s="65"/>
      <c r="F10" s="112"/>
      <c r="G10" s="65" t="s">
        <v>3</v>
      </c>
      <c r="H10" s="72" t="str">
        <f>IF(F10="","",ROUND(F10/100*$H$5,2))</f>
        <v/>
      </c>
      <c r="I10" s="65" t="s">
        <v>4</v>
      </c>
      <c r="K10" s="68" t="str">
        <f>IF(F10="","Bitte ausfüllen!","")</f>
        <v>Bitte ausfüllen!</v>
      </c>
    </row>
    <row r="11" spans="1:11" x14ac:dyDescent="0.2">
      <c r="A11" s="65" t="s">
        <v>13</v>
      </c>
      <c r="B11" s="65"/>
      <c r="C11" s="65" t="s">
        <v>14</v>
      </c>
      <c r="D11" s="65"/>
      <c r="E11" s="65"/>
      <c r="F11" s="112"/>
      <c r="G11" s="65" t="s">
        <v>3</v>
      </c>
      <c r="H11" s="72" t="str">
        <f>IF(F11="","",ROUND(F11/100*$H$5,2))</f>
        <v/>
      </c>
      <c r="I11" s="65" t="s">
        <v>4</v>
      </c>
      <c r="K11" s="68" t="str">
        <f>IF(F11="","Bitte ausfüllen!","")</f>
        <v>Bitte ausfüllen!</v>
      </c>
    </row>
    <row r="12" spans="1:11" x14ac:dyDescent="0.2">
      <c r="A12" s="65" t="s">
        <v>15</v>
      </c>
      <c r="B12" s="65"/>
      <c r="C12" s="65" t="s">
        <v>16</v>
      </c>
      <c r="D12" s="65"/>
      <c r="E12" s="65"/>
      <c r="F12" s="112"/>
      <c r="G12" s="65" t="s">
        <v>3</v>
      </c>
      <c r="H12" s="72" t="str">
        <f>IF(F12="","",ROUND(F12/100*$H$5,2))</f>
        <v/>
      </c>
      <c r="I12" s="65" t="s">
        <v>4</v>
      </c>
      <c r="K12" s="68" t="str">
        <f>IF(F12="","Bitte ausfüllen!","")</f>
        <v>Bitte ausfüllen!</v>
      </c>
    </row>
    <row r="13" spans="1:11" x14ac:dyDescent="0.2">
      <c r="A13" s="65" t="s">
        <v>17</v>
      </c>
      <c r="B13" s="65"/>
      <c r="C13" s="65" t="s">
        <v>18</v>
      </c>
      <c r="D13" s="65"/>
      <c r="E13" s="65"/>
      <c r="F13" s="112"/>
      <c r="G13" s="65" t="s">
        <v>3</v>
      </c>
      <c r="H13" s="72" t="str">
        <f>IF(F13="","",ROUND(F13/100*$H$5,2))</f>
        <v/>
      </c>
      <c r="I13" s="65" t="s">
        <v>4</v>
      </c>
      <c r="K13" s="68" t="str">
        <f>IF(F13="","Bitte ausfüllen!","")</f>
        <v>Bitte ausfüllen!</v>
      </c>
    </row>
    <row r="14" spans="1:11" x14ac:dyDescent="0.2">
      <c r="A14" s="66"/>
      <c r="B14" s="66" t="s">
        <v>19</v>
      </c>
      <c r="C14" s="66"/>
      <c r="D14" s="66"/>
      <c r="E14" s="66"/>
      <c r="F14" s="73"/>
      <c r="G14" s="66" t="s">
        <v>3</v>
      </c>
      <c r="H14" s="74" t="str">
        <f>IF(COUNTIF(F9:F13,"")&gt;0,"",SUM(H8:H13))</f>
        <v/>
      </c>
      <c r="I14" s="66" t="s">
        <v>4</v>
      </c>
      <c r="K14" s="68" t="str">
        <f>IF(H14="","Angaben offen!","")</f>
        <v>Angaben offen!</v>
      </c>
    </row>
    <row r="15" spans="1:11" x14ac:dyDescent="0.2">
      <c r="A15" s="65"/>
      <c r="B15" s="65"/>
      <c r="C15" s="65"/>
      <c r="D15" s="65"/>
      <c r="E15" s="65"/>
      <c r="F15" s="69"/>
      <c r="G15" s="65"/>
      <c r="H15" s="69"/>
      <c r="I15" s="65"/>
    </row>
    <row r="16" spans="1:11" x14ac:dyDescent="0.2">
      <c r="A16" s="66" t="s">
        <v>20</v>
      </c>
      <c r="B16" s="66" t="s">
        <v>21</v>
      </c>
      <c r="C16" s="66"/>
      <c r="D16" s="66"/>
      <c r="E16" s="66"/>
      <c r="F16" s="70"/>
      <c r="G16" s="66"/>
      <c r="H16" s="70"/>
      <c r="I16" s="66"/>
    </row>
    <row r="17" spans="1:14" ht="11.25" x14ac:dyDescent="0.2">
      <c r="A17" s="65" t="s">
        <v>22</v>
      </c>
      <c r="B17" s="65" t="s">
        <v>121</v>
      </c>
      <c r="C17" s="65"/>
      <c r="D17" s="12"/>
      <c r="E17" s="65" t="s">
        <v>3</v>
      </c>
      <c r="F17" s="69"/>
      <c r="G17" s="65"/>
      <c r="H17" s="69"/>
      <c r="I17" s="65"/>
      <c r="K17" s="68" t="str">
        <f ca="1">IF(D17&lt;D73,"Wert prüfen!",IF(H61="","Inhalt der gelben Zellen kann angepasst werden.",""))</f>
        <v>Inhalt der gelben Zellen kann angepasst werden.</v>
      </c>
    </row>
    <row r="18" spans="1:14" x14ac:dyDescent="0.2">
      <c r="A18" s="65"/>
      <c r="B18" s="65" t="s">
        <v>23</v>
      </c>
      <c r="C18" s="65"/>
      <c r="D18" s="75"/>
      <c r="E18" s="65" t="s">
        <v>3</v>
      </c>
      <c r="F18" s="76" t="str">
        <f>IF(D18="","",D17+D18)</f>
        <v/>
      </c>
      <c r="G18" s="65" t="s">
        <v>3</v>
      </c>
      <c r="H18" s="72" t="str">
        <f>IF(D18="","",ROUND(F18/100*$H$5,2))</f>
        <v/>
      </c>
      <c r="I18" s="65" t="s">
        <v>4</v>
      </c>
      <c r="K18" s="68"/>
    </row>
    <row r="19" spans="1:14" ht="11.25" x14ac:dyDescent="0.2">
      <c r="A19" s="65" t="s">
        <v>24</v>
      </c>
      <c r="B19" s="65" t="s">
        <v>122</v>
      </c>
      <c r="C19" s="65"/>
      <c r="D19" s="12"/>
      <c r="E19" s="65" t="s">
        <v>3</v>
      </c>
      <c r="F19" s="77"/>
      <c r="G19" s="65"/>
      <c r="H19" s="69"/>
      <c r="I19" s="65"/>
      <c r="K19" s="68" t="str">
        <f ca="1">IF(D19&lt;&gt;D74,"Wert prüfen!",IF(H61="","Inhalt der gelben Zellen kann angepasst werden.",""))</f>
        <v>Inhalt der gelben Zellen kann angepasst werden.</v>
      </c>
    </row>
    <row r="20" spans="1:14" x14ac:dyDescent="0.2">
      <c r="A20" s="65"/>
      <c r="B20" s="65" t="s">
        <v>25</v>
      </c>
      <c r="C20" s="65"/>
      <c r="D20" s="75"/>
      <c r="E20" s="65" t="s">
        <v>3</v>
      </c>
      <c r="F20" s="76" t="str">
        <f>IF(D20="","",D19+D20)</f>
        <v/>
      </c>
      <c r="G20" s="65" t="s">
        <v>3</v>
      </c>
      <c r="H20" s="72" t="str">
        <f>IF(D20="","",ROUND(F20/100*$H$5,2))</f>
        <v/>
      </c>
      <c r="I20" s="65" t="s">
        <v>4</v>
      </c>
      <c r="K20" s="68"/>
    </row>
    <row r="21" spans="1:14" ht="11.25" x14ac:dyDescent="0.2">
      <c r="A21" s="65" t="s">
        <v>26</v>
      </c>
      <c r="B21" s="65" t="s">
        <v>123</v>
      </c>
      <c r="C21" s="65"/>
      <c r="D21" s="12"/>
      <c r="E21" s="65" t="s">
        <v>3</v>
      </c>
      <c r="F21" s="77"/>
      <c r="G21" s="65"/>
      <c r="H21" s="69"/>
      <c r="I21" s="65"/>
      <c r="K21" s="68" t="str">
        <f ca="1">IF(D21&lt;&gt;D75,"Wert prüfen!",IF(H61="","Inhalt der gelben Zellen kann angepasst werden.",""))</f>
        <v>Inhalt der gelben Zellen kann angepasst werden.</v>
      </c>
    </row>
    <row r="22" spans="1:14" x14ac:dyDescent="0.2">
      <c r="A22" s="65"/>
      <c r="B22" s="65" t="s">
        <v>27</v>
      </c>
      <c r="C22" s="65"/>
      <c r="D22" s="75"/>
      <c r="E22" s="65" t="s">
        <v>3</v>
      </c>
      <c r="F22" s="76" t="str">
        <f>IF(D22="","",D21+D22)</f>
        <v/>
      </c>
      <c r="G22" s="65" t="s">
        <v>3</v>
      </c>
      <c r="H22" s="72" t="str">
        <f>IF(D22="","",ROUND(F22/100*$H$5,2))</f>
        <v/>
      </c>
      <c r="I22" s="65" t="s">
        <v>4</v>
      </c>
      <c r="K22" s="68"/>
    </row>
    <row r="23" spans="1:14" ht="11.25" x14ac:dyDescent="0.2">
      <c r="A23" s="65" t="s">
        <v>28</v>
      </c>
      <c r="B23" s="65" t="s">
        <v>124</v>
      </c>
      <c r="C23" s="65"/>
      <c r="D23" s="12"/>
      <c r="E23" s="65" t="s">
        <v>3</v>
      </c>
      <c r="F23" s="77"/>
      <c r="G23" s="65"/>
      <c r="H23" s="69"/>
      <c r="I23" s="65"/>
      <c r="K23" s="68" t="str">
        <f ca="1">IF(D23&lt;&gt;D76,"Wert prüfen!",IF(H61="","Inhalt der gelben Zellen kann angepasst werden.",""))</f>
        <v>Inhalt der gelben Zellen kann angepasst werden.</v>
      </c>
      <c r="L23" s="18"/>
      <c r="M23" s="18"/>
      <c r="N23" s="18"/>
    </row>
    <row r="24" spans="1:14" x14ac:dyDescent="0.2">
      <c r="A24" s="65"/>
      <c r="B24" s="65" t="s">
        <v>29</v>
      </c>
      <c r="C24" s="65"/>
      <c r="D24" s="75"/>
      <c r="E24" s="65" t="s">
        <v>3</v>
      </c>
      <c r="F24" s="76" t="str">
        <f>IF(D24="","",D23+D24)</f>
        <v/>
      </c>
      <c r="G24" s="65" t="s">
        <v>3</v>
      </c>
      <c r="H24" s="72" t="str">
        <f>IF(D24="","",ROUND(F24/100*$H$5,2))</f>
        <v/>
      </c>
      <c r="I24" s="65" t="s">
        <v>4</v>
      </c>
      <c r="K24" s="68"/>
    </row>
    <row r="25" spans="1:14" ht="11.25" x14ac:dyDescent="0.2">
      <c r="A25" s="65" t="s">
        <v>30</v>
      </c>
      <c r="B25" s="65" t="s">
        <v>125</v>
      </c>
      <c r="C25" s="65"/>
      <c r="D25" s="12"/>
      <c r="E25" s="65" t="s">
        <v>3</v>
      </c>
      <c r="F25" s="77"/>
      <c r="G25" s="65"/>
      <c r="H25" s="69"/>
      <c r="I25" s="65"/>
      <c r="K25" s="68" t="str">
        <f>IF(D25="","Bitte ausfüllen!","")</f>
        <v>Bitte ausfüllen!</v>
      </c>
    </row>
    <row r="26" spans="1:14" x14ac:dyDescent="0.2">
      <c r="A26" s="65"/>
      <c r="B26" s="65" t="s">
        <v>31</v>
      </c>
      <c r="C26" s="65"/>
      <c r="D26" s="75"/>
      <c r="E26" s="65" t="s">
        <v>3</v>
      </c>
      <c r="F26" s="76" t="str">
        <f>IF(D26="","",D25+D26)</f>
        <v/>
      </c>
      <c r="G26" s="65" t="s">
        <v>3</v>
      </c>
      <c r="H26" s="72" t="str">
        <f>IF(D26="","",ROUND(F26/100*$H$5,2))</f>
        <v/>
      </c>
      <c r="I26" s="65" t="s">
        <v>4</v>
      </c>
      <c r="K26" s="68"/>
    </row>
    <row r="27" spans="1:14" ht="11.25" x14ac:dyDescent="0.2">
      <c r="A27" s="65" t="s">
        <v>32</v>
      </c>
      <c r="B27" s="65" t="s">
        <v>126</v>
      </c>
      <c r="C27" s="65"/>
      <c r="D27" s="65"/>
      <c r="E27" s="65"/>
      <c r="F27" s="12"/>
      <c r="G27" s="65" t="s">
        <v>3</v>
      </c>
      <c r="H27" s="72" t="str">
        <f>IF(F27="","",ROUND(F27/100*$H$5,2))</f>
        <v/>
      </c>
      <c r="I27" s="65" t="s">
        <v>4</v>
      </c>
      <c r="K27" s="68" t="str">
        <f>IF(F27="","Bitte ausfüllen!","")</f>
        <v>Bitte ausfüllen!</v>
      </c>
    </row>
    <row r="28" spans="1:14" ht="11.25" x14ac:dyDescent="0.2">
      <c r="A28" s="65" t="s">
        <v>33</v>
      </c>
      <c r="B28" s="65" t="s">
        <v>127</v>
      </c>
      <c r="C28" s="65"/>
      <c r="D28" s="65"/>
      <c r="E28" s="65"/>
      <c r="F28" s="12"/>
      <c r="G28" s="65" t="s">
        <v>3</v>
      </c>
      <c r="H28" s="72" t="str">
        <f>IF(F28="","",ROUND(F28/100*$H$5,2))</f>
        <v/>
      </c>
      <c r="I28" s="65" t="s">
        <v>4</v>
      </c>
      <c r="K28" s="68" t="str">
        <f ca="1">IF(F28&lt;&gt;D79,"Wert prüfen!",IF(H61="","Inhalt der gelben Zellen kann angepasst werden.",""))</f>
        <v>Inhalt der gelben Zellen kann angepasst werden.</v>
      </c>
    </row>
    <row r="29" spans="1:14" ht="25.5" customHeight="1" x14ac:dyDescent="0.2">
      <c r="A29" s="66"/>
      <c r="B29" s="169" t="s">
        <v>34</v>
      </c>
      <c r="C29" s="169"/>
      <c r="D29" s="66"/>
      <c r="E29" s="66"/>
      <c r="F29" s="73">
        <f>IF(SUM(F17:F28)=0,0,SUM(F17:F28)+F14)</f>
        <v>0</v>
      </c>
      <c r="G29" s="66" t="s">
        <v>3</v>
      </c>
      <c r="H29" s="74" t="str">
        <f>IF(OR(COUNTIF(D17:D26,"")&gt;0,COUNTIF(F27:F28,"")&gt;0),"",SUM(H17:H28)+H14)</f>
        <v/>
      </c>
      <c r="I29" s="66" t="s">
        <v>4</v>
      </c>
      <c r="K29" s="68" t="str">
        <f>IF(H29="","Angaben offen!","")</f>
        <v>Angaben offen!</v>
      </c>
    </row>
    <row r="30" spans="1:14" x14ac:dyDescent="0.2">
      <c r="A30" s="65"/>
      <c r="B30" s="65"/>
      <c r="C30" s="65"/>
      <c r="D30" s="65"/>
      <c r="E30" s="65"/>
      <c r="F30" s="69"/>
      <c r="G30" s="65"/>
      <c r="H30" s="69"/>
      <c r="I30" s="65"/>
    </row>
    <row r="31" spans="1:14" x14ac:dyDescent="0.2">
      <c r="A31" s="65"/>
      <c r="B31" s="66" t="s">
        <v>35</v>
      </c>
      <c r="C31" s="65"/>
      <c r="D31" s="65"/>
      <c r="E31" s="65"/>
      <c r="F31" s="69"/>
      <c r="G31" s="65"/>
      <c r="H31" s="69"/>
      <c r="I31" s="65"/>
    </row>
    <row r="32" spans="1:14" x14ac:dyDescent="0.2">
      <c r="A32" s="65" t="s">
        <v>36</v>
      </c>
      <c r="B32" s="65" t="s">
        <v>37</v>
      </c>
      <c r="C32" s="65"/>
      <c r="D32" s="65"/>
      <c r="E32" s="65"/>
      <c r="F32" s="112"/>
      <c r="G32" s="65" t="s">
        <v>3</v>
      </c>
      <c r="H32" s="72" t="str">
        <f>IF(F32="","",ROUND(F32/100*$H$5,2))</f>
        <v/>
      </c>
      <c r="I32" s="65" t="s">
        <v>4</v>
      </c>
      <c r="K32" s="68" t="str">
        <f>IF(F32="","Bitte ausfüllen!","")</f>
        <v>Bitte ausfüllen!</v>
      </c>
    </row>
    <row r="33" spans="1:11" x14ac:dyDescent="0.2">
      <c r="A33" s="65" t="s">
        <v>38</v>
      </c>
      <c r="B33" s="65" t="s">
        <v>39</v>
      </c>
      <c r="C33" s="65"/>
      <c r="D33" s="65"/>
      <c r="E33" s="65"/>
      <c r="F33" s="112"/>
      <c r="G33" s="65" t="s">
        <v>3</v>
      </c>
      <c r="H33" s="72" t="str">
        <f>IF(F33="","",ROUND(F33/100*$H$5,2))</f>
        <v/>
      </c>
      <c r="I33" s="65" t="s">
        <v>4</v>
      </c>
      <c r="K33" s="68" t="str">
        <f>IF(F33="","Bitte ausfüllen!","")</f>
        <v>Bitte ausfüllen!</v>
      </c>
    </row>
    <row r="34" spans="1:11" ht="25.5" customHeight="1" x14ac:dyDescent="0.2">
      <c r="A34" s="66"/>
      <c r="B34" s="169" t="s">
        <v>40</v>
      </c>
      <c r="C34" s="169"/>
      <c r="D34" s="66"/>
      <c r="E34" s="66"/>
      <c r="F34" s="73">
        <f>IF(SUM(F32:F33)=0,0,SUM(F32:F33)+F29)</f>
        <v>0</v>
      </c>
      <c r="G34" s="66" t="s">
        <v>3</v>
      </c>
      <c r="H34" s="74" t="str">
        <f>IF(COUNTIF(H32:H33,"")&gt;0,"",SUM(H32:H33)+H29)</f>
        <v/>
      </c>
      <c r="I34" s="66" t="s">
        <v>4</v>
      </c>
      <c r="K34" s="68" t="str">
        <f>IF(H34="","Angaben offen!","")</f>
        <v>Angaben offen!</v>
      </c>
    </row>
    <row r="35" spans="1:11" x14ac:dyDescent="0.2">
      <c r="A35" s="65"/>
      <c r="B35" s="65"/>
      <c r="C35" s="65"/>
      <c r="D35" s="65"/>
      <c r="E35" s="65"/>
      <c r="F35" s="69"/>
      <c r="G35" s="65"/>
      <c r="H35" s="69"/>
      <c r="I35" s="65"/>
    </row>
    <row r="36" spans="1:11" x14ac:dyDescent="0.2">
      <c r="A36" s="66" t="s">
        <v>41</v>
      </c>
      <c r="B36" s="66" t="s">
        <v>42</v>
      </c>
      <c r="C36" s="66"/>
      <c r="D36" s="66"/>
      <c r="E36" s="66"/>
      <c r="F36" s="70"/>
      <c r="G36" s="66"/>
      <c r="H36" s="70"/>
      <c r="I36" s="66"/>
    </row>
    <row r="37" spans="1:11" x14ac:dyDescent="0.2">
      <c r="A37" s="65" t="s">
        <v>43</v>
      </c>
      <c r="B37" s="65" t="s">
        <v>44</v>
      </c>
      <c r="C37" s="65"/>
      <c r="D37" s="65"/>
      <c r="E37" s="65"/>
      <c r="F37" s="69"/>
      <c r="G37" s="65"/>
      <c r="H37" s="69"/>
      <c r="I37" s="65"/>
    </row>
    <row r="38" spans="1:11" x14ac:dyDescent="0.2">
      <c r="A38" s="65"/>
      <c r="B38" s="65" t="s">
        <v>45</v>
      </c>
      <c r="C38" s="65"/>
      <c r="D38" s="65"/>
      <c r="E38" s="65"/>
      <c r="F38" s="112"/>
      <c r="G38" s="65" t="s">
        <v>3</v>
      </c>
      <c r="H38" s="72" t="str">
        <f>IF(F38="","",ROUND(F38/100*$H$5,2))</f>
        <v/>
      </c>
      <c r="I38" s="65" t="s">
        <v>4</v>
      </c>
      <c r="K38" s="68" t="str">
        <f>IF(F38="","Bitte ausfüllen!","")</f>
        <v>Bitte ausfüllen!</v>
      </c>
    </row>
    <row r="39" spans="1:11" x14ac:dyDescent="0.2">
      <c r="A39" s="65" t="s">
        <v>46</v>
      </c>
      <c r="B39" s="65" t="s">
        <v>47</v>
      </c>
      <c r="C39" s="65"/>
      <c r="D39" s="65"/>
      <c r="E39" s="65"/>
      <c r="F39" s="112"/>
      <c r="G39" s="65" t="s">
        <v>3</v>
      </c>
      <c r="H39" s="72" t="str">
        <f>IF(F39="","",ROUND(F39/100*$H$5,2))</f>
        <v/>
      </c>
      <c r="I39" s="65" t="s">
        <v>4</v>
      </c>
      <c r="K39" s="68" t="str">
        <f>IF(F39="","Bitte ausfüllen!","")</f>
        <v>Bitte ausfüllen!</v>
      </c>
    </row>
    <row r="40" spans="1:11" x14ac:dyDescent="0.2">
      <c r="A40" s="65" t="s">
        <v>48</v>
      </c>
      <c r="B40" s="65" t="s">
        <v>49</v>
      </c>
      <c r="C40" s="65"/>
      <c r="D40" s="65"/>
      <c r="E40" s="65"/>
      <c r="F40" s="112"/>
      <c r="G40" s="65" t="s">
        <v>3</v>
      </c>
      <c r="H40" s="72" t="str">
        <f>IF(F40="","",ROUND(F40/100*$H$5,2))</f>
        <v/>
      </c>
      <c r="I40" s="65" t="s">
        <v>4</v>
      </c>
      <c r="K40" s="68" t="str">
        <f>IF(F40="","Bitte ausfüllen!","")</f>
        <v>Bitte ausfüllen!</v>
      </c>
    </row>
    <row r="41" spans="1:11" x14ac:dyDescent="0.2">
      <c r="A41" s="65" t="s">
        <v>50</v>
      </c>
      <c r="B41" s="65" t="s">
        <v>51</v>
      </c>
      <c r="C41" s="65"/>
      <c r="D41" s="65"/>
      <c r="E41" s="65"/>
      <c r="F41" s="112"/>
      <c r="G41" s="65" t="s">
        <v>3</v>
      </c>
      <c r="H41" s="72" t="str">
        <f>IF(F41="","",ROUND(F41/100*$H$5,2))</f>
        <v/>
      </c>
      <c r="I41" s="65" t="s">
        <v>4</v>
      </c>
      <c r="K41" s="68" t="str">
        <f>IF(F41="","Bitte ausfüllen!","")</f>
        <v>Bitte ausfüllen!</v>
      </c>
    </row>
    <row r="42" spans="1:11" ht="25.5" customHeight="1" x14ac:dyDescent="0.2">
      <c r="A42" s="66"/>
      <c r="B42" s="169" t="s">
        <v>52</v>
      </c>
      <c r="C42" s="169"/>
      <c r="D42" s="66"/>
      <c r="E42" s="66"/>
      <c r="F42" s="73">
        <f>IF(SUM(F38:F41)=0,0,SUM(F38:F41))</f>
        <v>0</v>
      </c>
      <c r="G42" s="66" t="s">
        <v>3</v>
      </c>
      <c r="H42" s="74" t="str">
        <f>IF(COUNTIF(H38:H41,"")&gt;0,"",SUM(H38:H41))</f>
        <v/>
      </c>
      <c r="I42" s="66" t="s">
        <v>4</v>
      </c>
      <c r="K42" s="68" t="str">
        <f>IF(H42="","Angaben offen!","")</f>
        <v>Angaben offen!</v>
      </c>
    </row>
    <row r="43" spans="1:11" x14ac:dyDescent="0.2">
      <c r="A43" s="65"/>
      <c r="B43" s="65"/>
      <c r="C43" s="65"/>
      <c r="D43" s="65"/>
      <c r="E43" s="65"/>
      <c r="F43" s="69"/>
      <c r="G43" s="65"/>
      <c r="H43" s="69"/>
      <c r="I43" s="65"/>
    </row>
    <row r="44" spans="1:11" x14ac:dyDescent="0.2">
      <c r="A44" s="66" t="s">
        <v>53</v>
      </c>
      <c r="B44" s="66" t="s">
        <v>54</v>
      </c>
      <c r="C44" s="66"/>
      <c r="D44" s="66"/>
      <c r="E44" s="66"/>
      <c r="F44" s="66"/>
      <c r="G44" s="66"/>
      <c r="H44" s="66"/>
      <c r="I44" s="66"/>
    </row>
    <row r="45" spans="1:11" x14ac:dyDescent="0.2">
      <c r="A45" s="65" t="s">
        <v>55</v>
      </c>
      <c r="B45" s="65" t="s">
        <v>56</v>
      </c>
      <c r="C45" s="65"/>
      <c r="D45" s="65"/>
      <c r="E45" s="65"/>
      <c r="F45" s="65"/>
      <c r="G45" s="65"/>
      <c r="H45" s="65"/>
      <c r="I45" s="65"/>
    </row>
    <row r="46" spans="1:11" x14ac:dyDescent="0.2">
      <c r="A46" s="65" t="s">
        <v>57</v>
      </c>
      <c r="B46" s="65"/>
      <c r="C46" s="65" t="s">
        <v>58</v>
      </c>
      <c r="D46" s="65"/>
      <c r="E46" s="65"/>
      <c r="F46" s="112"/>
      <c r="G46" s="65" t="s">
        <v>3</v>
      </c>
      <c r="H46" s="72" t="str">
        <f>IF(F46="","",ROUND(F46/100*$H$5,2))</f>
        <v/>
      </c>
      <c r="I46" s="65" t="s">
        <v>4</v>
      </c>
      <c r="K46" s="68" t="str">
        <f>IF(F46="","Bitte ausfüllen!","")</f>
        <v>Bitte ausfüllen!</v>
      </c>
    </row>
    <row r="47" spans="1:11" x14ac:dyDescent="0.2">
      <c r="A47" s="65" t="s">
        <v>59</v>
      </c>
      <c r="B47" s="65"/>
      <c r="C47" s="65" t="s">
        <v>120</v>
      </c>
      <c r="D47" s="65"/>
      <c r="E47" s="65"/>
      <c r="F47" s="112"/>
      <c r="G47" s="65" t="s">
        <v>3</v>
      </c>
      <c r="H47" s="72" t="str">
        <f>IF(F47="","",ROUND(F47/100*$H$5,2))</f>
        <v/>
      </c>
      <c r="I47" s="65" t="s">
        <v>4</v>
      </c>
      <c r="K47" s="68" t="str">
        <f>IF(F47="","Bitte ausfüllen!","")</f>
        <v>Bitte ausfüllen!</v>
      </c>
    </row>
    <row r="48" spans="1:11" x14ac:dyDescent="0.2">
      <c r="A48" s="65" t="s">
        <v>60</v>
      </c>
      <c r="B48" s="65" t="s">
        <v>61</v>
      </c>
      <c r="C48" s="65"/>
      <c r="D48" s="65"/>
      <c r="E48" s="65"/>
      <c r="F48" s="112"/>
      <c r="G48" s="65" t="s">
        <v>3</v>
      </c>
      <c r="H48" s="72" t="str">
        <f>IF(F48="","",ROUND(F48/100*$H$5,2))</f>
        <v/>
      </c>
      <c r="I48" s="65" t="s">
        <v>4</v>
      </c>
      <c r="K48" s="68" t="str">
        <f>IF(F48="","Bitte ausfüllen!","")</f>
        <v>Bitte ausfüllen!</v>
      </c>
    </row>
    <row r="49" spans="1:11" x14ac:dyDescent="0.2">
      <c r="A49" s="65" t="s">
        <v>62</v>
      </c>
      <c r="B49" s="65" t="s">
        <v>63</v>
      </c>
      <c r="C49" s="65"/>
      <c r="D49" s="65"/>
      <c r="E49" s="65"/>
      <c r="F49" s="65"/>
      <c r="G49" s="65"/>
      <c r="H49" s="65"/>
      <c r="I49" s="65"/>
    </row>
    <row r="50" spans="1:11" x14ac:dyDescent="0.2">
      <c r="A50" s="65" t="s">
        <v>64</v>
      </c>
      <c r="B50" s="65"/>
      <c r="C50" s="65" t="s">
        <v>65</v>
      </c>
      <c r="D50" s="65"/>
      <c r="E50" s="65"/>
      <c r="F50" s="112"/>
      <c r="G50" s="65" t="s">
        <v>3</v>
      </c>
      <c r="H50" s="72" t="str">
        <f t="shared" ref="H50:H56" si="0">IF(F50="","",ROUND(F50/100*$H$5,2))</f>
        <v/>
      </c>
      <c r="I50" s="65" t="s">
        <v>4</v>
      </c>
      <c r="K50" s="68" t="str">
        <f t="shared" ref="K50:K56" si="1">IF(F50="","Bitte ausfüllen!","")</f>
        <v>Bitte ausfüllen!</v>
      </c>
    </row>
    <row r="51" spans="1:11" x14ac:dyDescent="0.2">
      <c r="A51" s="65" t="s">
        <v>66</v>
      </c>
      <c r="B51" s="65"/>
      <c r="C51" s="65" t="s">
        <v>67</v>
      </c>
      <c r="D51" s="65"/>
      <c r="E51" s="65"/>
      <c r="F51" s="112"/>
      <c r="G51" s="65" t="s">
        <v>3</v>
      </c>
      <c r="H51" s="72" t="str">
        <f t="shared" si="0"/>
        <v/>
      </c>
      <c r="I51" s="65" t="s">
        <v>4</v>
      </c>
      <c r="K51" s="68" t="str">
        <f t="shared" si="1"/>
        <v>Bitte ausfüllen!</v>
      </c>
    </row>
    <row r="52" spans="1:11" x14ac:dyDescent="0.2">
      <c r="A52" s="65" t="s">
        <v>68</v>
      </c>
      <c r="B52" s="65" t="s">
        <v>69</v>
      </c>
      <c r="C52" s="65"/>
      <c r="D52" s="65"/>
      <c r="E52" s="65"/>
      <c r="F52" s="112"/>
      <c r="G52" s="65" t="s">
        <v>3</v>
      </c>
      <c r="H52" s="72" t="str">
        <f t="shared" si="0"/>
        <v/>
      </c>
      <c r="I52" s="65" t="s">
        <v>4</v>
      </c>
      <c r="K52" s="68" t="str">
        <f t="shared" si="1"/>
        <v>Bitte ausfüllen!</v>
      </c>
    </row>
    <row r="53" spans="1:11" x14ac:dyDescent="0.2">
      <c r="A53" s="65" t="s">
        <v>70</v>
      </c>
      <c r="B53" s="65" t="s">
        <v>71</v>
      </c>
      <c r="C53" s="65"/>
      <c r="D53" s="65"/>
      <c r="E53" s="65"/>
      <c r="F53" s="112"/>
      <c r="G53" s="65" t="s">
        <v>3</v>
      </c>
      <c r="H53" s="72" t="str">
        <f t="shared" si="0"/>
        <v/>
      </c>
      <c r="I53" s="65" t="s">
        <v>4</v>
      </c>
      <c r="K53" s="68" t="str">
        <f t="shared" si="1"/>
        <v>Bitte ausfüllen!</v>
      </c>
    </row>
    <row r="54" spans="1:11" x14ac:dyDescent="0.2">
      <c r="A54" s="65" t="s">
        <v>72</v>
      </c>
      <c r="B54" s="65" t="s">
        <v>73</v>
      </c>
      <c r="C54" s="65"/>
      <c r="D54" s="65"/>
      <c r="E54" s="65"/>
      <c r="F54" s="112"/>
      <c r="G54" s="65" t="s">
        <v>3</v>
      </c>
      <c r="H54" s="72" t="str">
        <f t="shared" si="0"/>
        <v/>
      </c>
      <c r="I54" s="65" t="s">
        <v>4</v>
      </c>
      <c r="K54" s="68" t="str">
        <f t="shared" si="1"/>
        <v>Bitte ausfüllen!</v>
      </c>
    </row>
    <row r="55" spans="1:11" x14ac:dyDescent="0.2">
      <c r="A55" s="65" t="s">
        <v>74</v>
      </c>
      <c r="B55" s="65" t="s">
        <v>75</v>
      </c>
      <c r="C55" s="65"/>
      <c r="D55" s="65"/>
      <c r="E55" s="65"/>
      <c r="F55" s="112"/>
      <c r="G55" s="65" t="s">
        <v>3</v>
      </c>
      <c r="H55" s="72" t="str">
        <f t="shared" si="0"/>
        <v/>
      </c>
      <c r="I55" s="65" t="s">
        <v>4</v>
      </c>
      <c r="K55" s="68" t="str">
        <f t="shared" si="1"/>
        <v>Bitte ausfüllen!</v>
      </c>
    </row>
    <row r="56" spans="1:11" x14ac:dyDescent="0.2">
      <c r="A56" s="65" t="s">
        <v>76</v>
      </c>
      <c r="B56" s="65" t="s">
        <v>77</v>
      </c>
      <c r="C56" s="65"/>
      <c r="D56" s="65"/>
      <c r="E56" s="65"/>
      <c r="F56" s="112"/>
      <c r="G56" s="65" t="s">
        <v>3</v>
      </c>
      <c r="H56" s="72" t="str">
        <f t="shared" si="0"/>
        <v/>
      </c>
      <c r="I56" s="65" t="s">
        <v>4</v>
      </c>
      <c r="K56" s="68" t="str">
        <f t="shared" si="1"/>
        <v>Bitte ausfüllen!</v>
      </c>
    </row>
    <row r="57" spans="1:11" ht="25.5" customHeight="1" x14ac:dyDescent="0.2">
      <c r="A57" s="66"/>
      <c r="B57" s="169" t="s">
        <v>78</v>
      </c>
      <c r="C57" s="169"/>
      <c r="D57" s="66"/>
      <c r="E57" s="66"/>
      <c r="F57" s="73">
        <f>IF(SUM(F45:F56)=0,0,SUM(F45:F56))</f>
        <v>0</v>
      </c>
      <c r="G57" s="66" t="s">
        <v>3</v>
      </c>
      <c r="H57" s="74" t="str">
        <f>IF(COUNTIF(H46:H56,"")&gt;1,"",SUM(H46:H56))</f>
        <v/>
      </c>
      <c r="I57" s="66" t="s">
        <v>4</v>
      </c>
      <c r="K57" s="68" t="str">
        <f>IF(H57="","Angaben offen!","")</f>
        <v>Angaben offen!</v>
      </c>
    </row>
    <row r="58" spans="1:11" x14ac:dyDescent="0.2">
      <c r="A58" s="65"/>
      <c r="B58" s="65"/>
      <c r="C58" s="65"/>
      <c r="D58" s="65"/>
      <c r="E58" s="65"/>
      <c r="F58" s="69"/>
      <c r="G58" s="65"/>
      <c r="H58" s="69"/>
      <c r="I58" s="65"/>
    </row>
    <row r="59" spans="1:11" x14ac:dyDescent="0.2">
      <c r="A59" s="66" t="s">
        <v>79</v>
      </c>
      <c r="B59" s="168" t="s">
        <v>80</v>
      </c>
      <c r="C59" s="168"/>
      <c r="D59" s="66"/>
      <c r="E59" s="66"/>
      <c r="F59" s="78">
        <f>IF(AND(F34=""),0,F34+F42+F57+F5)</f>
        <v>0</v>
      </c>
      <c r="G59" s="66" t="s">
        <v>3</v>
      </c>
      <c r="H59" s="70" t="str">
        <f>IF(H57="","",H34+H42+H57+H5)</f>
        <v/>
      </c>
      <c r="I59" s="66" t="s">
        <v>4</v>
      </c>
    </row>
    <row r="60" spans="1:11" x14ac:dyDescent="0.2">
      <c r="A60" s="66" t="s">
        <v>81</v>
      </c>
      <c r="B60" s="66" t="s">
        <v>82</v>
      </c>
      <c r="C60" s="66"/>
      <c r="D60" s="66"/>
      <c r="E60" s="66"/>
      <c r="F60" s="12"/>
      <c r="G60" s="66" t="s">
        <v>3</v>
      </c>
      <c r="H60" s="74" t="str">
        <f>IF(F60="","",ROUND(F60/100*H59,2))</f>
        <v/>
      </c>
      <c r="I60" s="66" t="s">
        <v>4</v>
      </c>
      <c r="K60" s="68" t="str">
        <f>IF(F60="","Bitte ausfüllen!","")</f>
        <v>Bitte ausfüllen!</v>
      </c>
    </row>
    <row r="61" spans="1:11" x14ac:dyDescent="0.2">
      <c r="A61" s="66"/>
      <c r="B61" s="66" t="s">
        <v>83</v>
      </c>
      <c r="C61" s="66"/>
      <c r="D61" s="66"/>
      <c r="E61" s="66"/>
      <c r="F61" s="73">
        <f ca="1">IF(H61="",0,H61/H5*100)</f>
        <v>0</v>
      </c>
      <c r="G61" s="66" t="s">
        <v>3</v>
      </c>
      <c r="H61" s="74" t="str">
        <f ca="1">IF(SUM(COUNTIF(INDIRECT({"H5","F9:F13","D17:D26","F27:F28","F32:F33","F38:F41","F46:F48","F50:F56","F60","H65:H68"}),""))&gt;0,"",H59+H60)</f>
        <v/>
      </c>
      <c r="I61" s="66" t="s">
        <v>4</v>
      </c>
      <c r="K61" s="68" t="str">
        <f ca="1">IF(SUM(COUNTIF(INDIRECT({"H5","F9:F13","D17:D26","F27:F28","F32:F33","F38:F41","F46:F48","F50:F56","F60","H65:H68"}),""))&gt;0,SUM(COUNTIF(INDIRECT({"H5","F9:F13","D17:D26","F27:F28","F32:F33","F38:F41","F46:F48","F50:F56","F60","H65:H68"}),"")) &amp;" Zelle(n) ohne Wert!","")</f>
        <v>39 Zelle(n) ohne Wert!</v>
      </c>
    </row>
    <row r="62" spans="1:11" x14ac:dyDescent="0.2">
      <c r="A62" s="65"/>
      <c r="B62" s="65" t="s">
        <v>84</v>
      </c>
      <c r="C62" s="65"/>
      <c r="D62" s="65"/>
      <c r="E62" s="65"/>
      <c r="F62" s="73">
        <f ca="1">IF(F61=0,0,F61-F5)</f>
        <v>0</v>
      </c>
      <c r="G62" s="65" t="s">
        <v>3</v>
      </c>
      <c r="H62" s="65"/>
      <c r="I62" s="65"/>
      <c r="K62" s="68" t="str">
        <f ca="1">IF(F62&lt;70,"Bitte prüfen gemäß Aufforderung!","")</f>
        <v>Bitte prüfen gemäß Aufforderung!</v>
      </c>
    </row>
    <row r="63" spans="1:11" x14ac:dyDescent="0.2">
      <c r="A63" s="65"/>
      <c r="B63" s="65"/>
      <c r="C63" s="65"/>
      <c r="D63" s="65"/>
      <c r="E63" s="65"/>
      <c r="F63" s="65"/>
      <c r="G63" s="65"/>
      <c r="H63" s="65"/>
      <c r="I63" s="65"/>
    </row>
    <row r="64" spans="1:11" x14ac:dyDescent="0.2">
      <c r="B64" s="66" t="s">
        <v>85</v>
      </c>
      <c r="D64" s="66"/>
      <c r="E64" s="66"/>
      <c r="G64" s="66"/>
      <c r="H64" s="70" t="s">
        <v>86</v>
      </c>
    </row>
    <row r="65" spans="1:11" x14ac:dyDescent="0.2">
      <c r="B65" s="65" t="s">
        <v>87</v>
      </c>
      <c r="D65" s="65"/>
      <c r="E65" s="65"/>
      <c r="G65" s="79"/>
      <c r="H65" s="113"/>
      <c r="K65" s="68" t="str">
        <f>IF(H65="","Bitte ausfüllen!","")</f>
        <v>Bitte ausfüllen!</v>
      </c>
    </row>
    <row r="66" spans="1:11" x14ac:dyDescent="0.2">
      <c r="B66" s="65" t="s">
        <v>88</v>
      </c>
      <c r="D66" s="65"/>
      <c r="E66" s="65"/>
      <c r="G66" s="79"/>
      <c r="H66" s="114"/>
      <c r="K66" s="68" t="str">
        <f>IF(H66="","Bitte ausfüllen!","")</f>
        <v>Bitte ausfüllen!</v>
      </c>
    </row>
    <row r="67" spans="1:11" x14ac:dyDescent="0.2">
      <c r="B67" s="65" t="s">
        <v>89</v>
      </c>
      <c r="D67" s="65"/>
      <c r="E67" s="65"/>
      <c r="G67" s="79"/>
      <c r="H67" s="115"/>
      <c r="K67" s="68" t="str">
        <f>IF(H67="","Bitte ausfüllen!","")</f>
        <v>Bitte ausfüllen!</v>
      </c>
    </row>
    <row r="68" spans="1:11" x14ac:dyDescent="0.2">
      <c r="B68" s="65" t="s">
        <v>90</v>
      </c>
      <c r="D68" s="65"/>
      <c r="E68" s="65"/>
      <c r="G68" s="79"/>
      <c r="H68" s="114"/>
      <c r="K68" s="68" t="str">
        <f>IF(H68="","Bitte ausfüllen!","")</f>
        <v>Bitte ausfüllen!</v>
      </c>
    </row>
    <row r="70" spans="1:11" x14ac:dyDescent="0.2">
      <c r="C70" s="50"/>
      <c r="D70" s="5"/>
    </row>
    <row r="71" spans="1:11" ht="15.95" customHeight="1" x14ac:dyDescent="0.2">
      <c r="A71" s="159" t="s">
        <v>201</v>
      </c>
      <c r="B71" s="159"/>
      <c r="C71" s="159"/>
      <c r="D71" s="159" t="s">
        <v>582</v>
      </c>
      <c r="F71" s="161" t="s">
        <v>133</v>
      </c>
      <c r="G71" s="162"/>
      <c r="H71" s="163"/>
    </row>
    <row r="72" spans="1:11" ht="15.95" customHeight="1" x14ac:dyDescent="0.2">
      <c r="A72" s="160"/>
      <c r="B72" s="160"/>
      <c r="C72" s="160"/>
      <c r="D72" s="160"/>
      <c r="F72" s="164"/>
      <c r="G72" s="165"/>
      <c r="H72" s="166"/>
      <c r="I72" s="66"/>
      <c r="J72" s="66"/>
      <c r="K72" s="66"/>
    </row>
    <row r="73" spans="1:11" ht="19.899999999999999" customHeight="1" x14ac:dyDescent="0.2">
      <c r="A73" s="170">
        <v>1</v>
      </c>
      <c r="B73" s="170"/>
      <c r="C73" s="13" t="s">
        <v>128</v>
      </c>
      <c r="D73" s="52"/>
      <c r="F73" s="171" t="s">
        <v>573</v>
      </c>
      <c r="G73" s="171"/>
      <c r="H73" s="171"/>
    </row>
    <row r="74" spans="1:11" ht="19.899999999999999" customHeight="1" x14ac:dyDescent="0.2">
      <c r="A74" s="170">
        <v>2</v>
      </c>
      <c r="B74" s="170"/>
      <c r="C74" s="13" t="s">
        <v>129</v>
      </c>
      <c r="D74" s="52"/>
    </row>
    <row r="75" spans="1:11" ht="24" customHeight="1" x14ac:dyDescent="0.2">
      <c r="A75" s="170">
        <v>3</v>
      </c>
      <c r="B75" s="170"/>
      <c r="C75" s="13" t="s">
        <v>130</v>
      </c>
      <c r="D75" s="52"/>
    </row>
    <row r="76" spans="1:11" ht="24" customHeight="1" x14ac:dyDescent="0.2">
      <c r="A76" s="170">
        <v>4</v>
      </c>
      <c r="B76" s="170"/>
      <c r="C76" s="13" t="s">
        <v>131</v>
      </c>
      <c r="D76" s="52"/>
    </row>
    <row r="77" spans="1:11" ht="24" customHeight="1" x14ac:dyDescent="0.2">
      <c r="A77" s="170">
        <v>5</v>
      </c>
      <c r="B77" s="170"/>
      <c r="C77" s="13" t="s">
        <v>136</v>
      </c>
      <c r="D77" s="52"/>
    </row>
    <row r="78" spans="1:11" ht="24" customHeight="1" x14ac:dyDescent="0.2">
      <c r="A78" s="170">
        <v>6</v>
      </c>
      <c r="B78" s="170"/>
      <c r="C78" s="13" t="s">
        <v>118</v>
      </c>
      <c r="D78" s="52"/>
    </row>
    <row r="79" spans="1:11" ht="24" customHeight="1" x14ac:dyDescent="0.2">
      <c r="A79" s="170">
        <v>7</v>
      </c>
      <c r="B79" s="170"/>
      <c r="C79" s="13" t="s">
        <v>132</v>
      </c>
      <c r="D79" s="52"/>
    </row>
  </sheetData>
  <mergeCells count="18">
    <mergeCell ref="A78:B78"/>
    <mergeCell ref="A79:B79"/>
    <mergeCell ref="F73:H73"/>
    <mergeCell ref="A73:B73"/>
    <mergeCell ref="A74:B74"/>
    <mergeCell ref="A75:B75"/>
    <mergeCell ref="A76:B76"/>
    <mergeCell ref="A77:B77"/>
    <mergeCell ref="A71:C72"/>
    <mergeCell ref="D71:D72"/>
    <mergeCell ref="F71:H72"/>
    <mergeCell ref="E1:I2"/>
    <mergeCell ref="A3:I3"/>
    <mergeCell ref="B59:C59"/>
    <mergeCell ref="B29:C29"/>
    <mergeCell ref="B34:C34"/>
    <mergeCell ref="B42:C42"/>
    <mergeCell ref="B57:C57"/>
  </mergeCells>
  <phoneticPr fontId="3" type="noConversion"/>
  <dataValidations count="1">
    <dataValidation type="decimal" errorStyle="warning" allowBlank="1" showInputMessage="1" showErrorMessage="1" error="Bitte überprüfen Sie Ihre Eingaben." sqref="C25" xr:uid="{00000000-0002-0000-0300-000000000000}">
      <formula1>8.5</formula1>
      <formula2>84</formula2>
    </dataValidation>
  </dataValidations>
  <hyperlinks>
    <hyperlink ref="K1" location="Inhaltsverzeichnis!A1" display="Zurück zum Inhaltsverzeichnis" xr:uid="{00000000-0004-0000-03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ltText="Hinweis">
                <anchor moveWithCells="1">
                  <from>
                    <xdr:col>2</xdr:col>
                    <xdr:colOff>2914650</xdr:colOff>
                    <xdr:row>0</xdr:row>
                    <xdr:rowOff>95250</xdr:rowOff>
                  </from>
                  <to>
                    <xdr:col>3</xdr:col>
                    <xdr:colOff>552450</xdr:colOff>
                    <xdr:row>0</xdr:row>
                    <xdr:rowOff>381000</xdr:rowOff>
                  </to>
                </anchor>
              </controlPr>
            </control>
          </mc:Choice>
        </mc:AlternateContent>
        <mc:AlternateContent xmlns:mc="http://schemas.openxmlformats.org/markup-compatibility/2006">
          <mc:Choice Requires="x14">
            <control shapeId="27650" r:id="rId5" name="Check Box 2">
              <controlPr defaultSize="0" autoFill="0" autoLine="0" autoPict="0" altText="Hinweis">
                <anchor moveWithCells="1">
                  <from>
                    <xdr:col>2</xdr:col>
                    <xdr:colOff>2914650</xdr:colOff>
                    <xdr:row>0</xdr:row>
                    <xdr:rowOff>400050</xdr:rowOff>
                  </from>
                  <to>
                    <xdr:col>3</xdr:col>
                    <xdr:colOff>552450</xdr:colOff>
                    <xdr:row>1</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66"/>
  </sheetPr>
  <dimension ref="A1:U42"/>
  <sheetViews>
    <sheetView showGridLines="0" zoomScaleNormal="100" workbookViewId="0">
      <pane ySplit="21" topLeftCell="A35" activePane="bottomLeft" state="frozen"/>
      <selection pane="bottomLeft" activeCell="J21" sqref="J21"/>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2.140625" style="4" customWidth="1"/>
    <col min="14" max="14" width="9.42578125" style="4" customWidth="1"/>
    <col min="15" max="15" width="8.42578125" style="4" customWidth="1"/>
    <col min="16" max="17" width="11.42578125" style="4" customWidth="1"/>
    <col min="18" max="19" width="11.28515625" style="4" customWidth="1"/>
    <col min="20" max="20" width="22.28515625" style="4" customWidth="1"/>
    <col min="21" max="21" width="0" style="4" hidden="1" customWidth="1"/>
    <col min="22" max="16384" width="11.42578125" style="4" hidden="1"/>
  </cols>
  <sheetData>
    <row r="1" spans="1:21" ht="15" customHeight="1" x14ac:dyDescent="0.2">
      <c r="M1" s="6" t="s">
        <v>100</v>
      </c>
    </row>
    <row r="2" spans="1:21" ht="21" customHeight="1" x14ac:dyDescent="0.2">
      <c r="A2" s="174" t="s">
        <v>158</v>
      </c>
      <c r="B2" s="175"/>
      <c r="C2" s="175"/>
      <c r="D2" s="175" t="b">
        <v>0</v>
      </c>
      <c r="E2" s="176"/>
      <c r="G2" s="177" t="s">
        <v>171</v>
      </c>
      <c r="H2" s="177" t="s">
        <v>163</v>
      </c>
      <c r="I2" s="177" t="s">
        <v>164</v>
      </c>
      <c r="J2" s="177" t="s">
        <v>183</v>
      </c>
      <c r="M2" s="42"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1" ht="21" customHeight="1" x14ac:dyDescent="0.2">
      <c r="A3" s="81" t="s">
        <v>159</v>
      </c>
      <c r="B3" s="82"/>
      <c r="C3" s="82"/>
      <c r="D3" s="82"/>
      <c r="E3" s="83"/>
      <c r="G3" s="178"/>
      <c r="H3" s="178" t="b">
        <v>0</v>
      </c>
      <c r="I3" s="178"/>
      <c r="J3" s="178"/>
      <c r="M3" s="42" t="b">
        <v>0</v>
      </c>
      <c r="N3" s="150"/>
      <c r="O3" s="150"/>
      <c r="P3" s="150"/>
      <c r="Q3" s="150"/>
    </row>
    <row r="4" spans="1:21" ht="15" customHeight="1" x14ac:dyDescent="0.2">
      <c r="A4" s="172" t="s">
        <v>91</v>
      </c>
      <c r="B4" s="182"/>
      <c r="C4" s="183"/>
      <c r="D4" s="183"/>
      <c r="E4" s="184"/>
      <c r="G4" s="22" t="s">
        <v>266</v>
      </c>
      <c r="H4" s="137"/>
      <c r="I4" s="85">
        <f ca="1">SUMIF('Kal Unter PvH AL1'!J22:M42,$G$4,'Kal Unter PvH AL1'!M22:M42)</f>
        <v>680.38</v>
      </c>
      <c r="J4" s="60">
        <f>COUNTIFS('Kal Unter PvH AL1'!J22:M42,$G$4)</f>
        <v>1</v>
      </c>
      <c r="M4" s="42" t="b">
        <v>0</v>
      </c>
      <c r="N4" s="150"/>
      <c r="O4" s="150"/>
      <c r="P4" s="150"/>
      <c r="Q4" s="150"/>
      <c r="U4" s="22" t="s">
        <v>266</v>
      </c>
    </row>
    <row r="5" spans="1:21" ht="15" customHeight="1" x14ac:dyDescent="0.2">
      <c r="A5" s="173"/>
      <c r="B5" s="185"/>
      <c r="C5" s="186"/>
      <c r="D5" s="186"/>
      <c r="E5" s="187"/>
      <c r="G5" s="22" t="s">
        <v>267</v>
      </c>
      <c r="H5" s="137"/>
      <c r="I5" s="85">
        <f ca="1">SUMIF('Kal Unter PvH AL1'!J22:M42,$G$5,'Kal Unter PvH AL1'!M22:M42)</f>
        <v>12280.69</v>
      </c>
      <c r="J5" s="60">
        <f>COUNTIFS('Kal Unter PvH AL1'!J22:M42,$G$5)</f>
        <v>6</v>
      </c>
      <c r="M5" s="42" t="b">
        <v>0</v>
      </c>
      <c r="N5" s="150"/>
      <c r="O5" s="150"/>
      <c r="P5" s="150"/>
      <c r="Q5" s="150"/>
      <c r="U5" s="22" t="s">
        <v>267</v>
      </c>
    </row>
    <row r="6" spans="1:21" ht="15" customHeight="1" x14ac:dyDescent="0.2">
      <c r="A6" s="86" t="s">
        <v>181</v>
      </c>
      <c r="B6" s="188" t="s">
        <v>204</v>
      </c>
      <c r="C6" s="189"/>
      <c r="D6" s="189"/>
      <c r="E6" s="190"/>
      <c r="G6" s="22" t="s">
        <v>268</v>
      </c>
      <c r="H6" s="137"/>
      <c r="I6" s="85">
        <f ca="1">SUMIF('Kal Unter PvH AL1'!J22:M42,$G$6,'Kal Unter PvH AL1'!M22:M42)</f>
        <v>0</v>
      </c>
      <c r="J6" s="60">
        <f>COUNTIFS('Kal Unter PvH AL1'!J22:M42,$G$6)</f>
        <v>4</v>
      </c>
      <c r="U6" s="22" t="s">
        <v>268</v>
      </c>
    </row>
    <row r="7" spans="1:21" ht="15" customHeight="1" x14ac:dyDescent="0.2">
      <c r="A7" s="87" t="s">
        <v>179</v>
      </c>
      <c r="B7" s="191" t="s">
        <v>205</v>
      </c>
      <c r="C7" s="192"/>
      <c r="D7" s="192"/>
      <c r="E7" s="193"/>
      <c r="G7" s="22" t="s">
        <v>270</v>
      </c>
      <c r="H7" s="137"/>
      <c r="I7" s="85">
        <f ca="1">SUMIF('Kal Unter PvH AL1'!J22:M42,$G$7,'Kal Unter PvH AL1'!M22:M42)</f>
        <v>1448.61</v>
      </c>
      <c r="J7" s="60">
        <f>COUNTIFS('Kal Unter PvH AL1'!J22:M42,$G$7)</f>
        <v>1</v>
      </c>
      <c r="U7" s="22" t="s">
        <v>270</v>
      </c>
    </row>
    <row r="8" spans="1:21" ht="15" customHeight="1" x14ac:dyDescent="0.2">
      <c r="A8" s="87" t="s">
        <v>180</v>
      </c>
      <c r="B8" s="194" t="s">
        <v>206</v>
      </c>
      <c r="C8" s="192"/>
      <c r="D8" s="192"/>
      <c r="E8" s="193"/>
      <c r="G8" s="22" t="s">
        <v>265</v>
      </c>
      <c r="H8" s="137"/>
      <c r="I8" s="85">
        <f ca="1">SUMIF('Kal Unter PvH AL1'!J22:M42,$G$8,'Kal Unter PvH AL1'!M22:M42)</f>
        <v>73611.999999999985</v>
      </c>
      <c r="J8" s="60">
        <f>COUNTIFS('Kal Unter PvH AL1'!J22:M42,$G$8)</f>
        <v>4</v>
      </c>
      <c r="U8" s="22" t="s">
        <v>265</v>
      </c>
    </row>
    <row r="9" spans="1:21" ht="15" customHeight="1" x14ac:dyDescent="0.2">
      <c r="A9" s="86" t="s">
        <v>178</v>
      </c>
      <c r="B9" s="195" t="s">
        <v>203</v>
      </c>
      <c r="C9" s="192"/>
      <c r="D9" s="192"/>
      <c r="E9" s="193"/>
      <c r="G9" s="22" t="s">
        <v>264</v>
      </c>
      <c r="H9" s="137"/>
      <c r="I9" s="85">
        <f ca="1">SUMIF('Kal Unter PvH AL1'!J22:M42,$G$9,'Kal Unter PvH AL1'!M22:M42)</f>
        <v>22645.309999999998</v>
      </c>
      <c r="J9" s="60">
        <f>COUNTIFS('Kal Unter PvH AL1'!J22:M42,$G$9)</f>
        <v>4</v>
      </c>
      <c r="U9" s="22" t="s">
        <v>264</v>
      </c>
    </row>
    <row r="10" spans="1:21" ht="15" customHeight="1" x14ac:dyDescent="0.2">
      <c r="A10" s="87" t="s">
        <v>160</v>
      </c>
      <c r="B10" s="194" t="s">
        <v>207</v>
      </c>
      <c r="C10" s="192"/>
      <c r="D10" s="192"/>
      <c r="E10" s="193"/>
      <c r="G10" s="22" t="s">
        <v>269</v>
      </c>
      <c r="H10" s="137"/>
      <c r="I10" s="85">
        <f ca="1">SUMIF('Kal Unter PvH AL1'!J22:M42,$G$10,'Kal Unter PvH AL1'!M22:M42)</f>
        <v>0</v>
      </c>
      <c r="J10" s="60">
        <f>COUNTIFS('Kal Unter PvH AL1'!J22:M42,$G$10)</f>
        <v>1</v>
      </c>
      <c r="U10" s="22" t="s">
        <v>269</v>
      </c>
    </row>
    <row r="11" spans="1:21" ht="15" customHeight="1" x14ac:dyDescent="0.2">
      <c r="A11" s="87" t="s">
        <v>161</v>
      </c>
      <c r="B11" s="196" t="s">
        <v>208</v>
      </c>
      <c r="C11" s="192"/>
      <c r="D11" s="192"/>
      <c r="E11" s="193"/>
    </row>
    <row r="12" spans="1:21" ht="15" customHeight="1" x14ac:dyDescent="0.2">
      <c r="A12" s="87" t="s">
        <v>162</v>
      </c>
      <c r="B12" s="194" t="s">
        <v>209</v>
      </c>
      <c r="C12" s="192"/>
      <c r="D12" s="192"/>
      <c r="E12" s="193"/>
    </row>
    <row r="13" spans="1:21"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1" ht="15" customHeight="1" x14ac:dyDescent="0.2">
      <c r="T14" s="19">
        <f>IF(COUNTA($T$22:$T$42)-COUNTBLANK($T$22:$T$42)=0,"",COUNTA($T$22:$T$42)-COUNTBLANK($T$22:$T$42))</f>
        <v>16</v>
      </c>
    </row>
    <row r="15" spans="1:21" ht="15" hidden="1" customHeight="1" x14ac:dyDescent="0.2"/>
    <row r="16" spans="1:21" ht="15" hidden="1" customHeight="1" x14ac:dyDescent="0.2"/>
    <row r="17" spans="1:21" ht="15" hidden="1" customHeight="1" x14ac:dyDescent="0.2"/>
    <row r="18" spans="1:21" ht="15" hidden="1" customHeight="1" x14ac:dyDescent="0.2"/>
    <row r="19" spans="1:21" ht="15" hidden="1" customHeight="1" x14ac:dyDescent="0.2"/>
    <row r="20" spans="1:21" ht="45" customHeight="1" x14ac:dyDescent="0.2">
      <c r="A20" s="2" t="s">
        <v>92</v>
      </c>
      <c r="B20" s="2" t="s">
        <v>97</v>
      </c>
      <c r="C20" s="2" t="s">
        <v>93</v>
      </c>
      <c r="D20" s="2" t="s">
        <v>94</v>
      </c>
      <c r="E20" s="2" t="s">
        <v>98</v>
      </c>
      <c r="F20" s="2" t="s">
        <v>95</v>
      </c>
      <c r="G20" s="2" t="s">
        <v>115</v>
      </c>
      <c r="H20" s="2" t="s">
        <v>106</v>
      </c>
      <c r="I20" s="2" t="s">
        <v>107</v>
      </c>
      <c r="J20" s="2" t="s">
        <v>99</v>
      </c>
      <c r="K20" s="2" t="s">
        <v>104</v>
      </c>
      <c r="L20" s="2" t="s">
        <v>135</v>
      </c>
      <c r="M20" s="2" t="s">
        <v>109</v>
      </c>
      <c r="N20" s="2" t="s">
        <v>105</v>
      </c>
      <c r="O20" s="2" t="s">
        <v>110</v>
      </c>
      <c r="P20" s="2" t="s">
        <v>111</v>
      </c>
      <c r="Q20" s="2" t="s">
        <v>112</v>
      </c>
      <c r="R20" s="2" t="s">
        <v>182</v>
      </c>
      <c r="S20" s="2" t="s">
        <v>134</v>
      </c>
    </row>
    <row r="21" spans="1:21" ht="29.1" customHeight="1" x14ac:dyDescent="0.2">
      <c r="A21" s="88" t="s">
        <v>119</v>
      </c>
      <c r="B21" s="13"/>
      <c r="C21" s="13"/>
      <c r="D21" s="13"/>
      <c r="E21" s="13"/>
      <c r="F21" s="13"/>
      <c r="G21" s="89">
        <f>SUM($G$22:$G$42)</f>
        <v>854.5200000000001</v>
      </c>
      <c r="H21" s="89">
        <f>SUM($H$22:$H$42)</f>
        <v>0</v>
      </c>
      <c r="I21" s="89">
        <f>SUM($I$22:$I$42)</f>
        <v>0</v>
      </c>
      <c r="J21" s="41"/>
      <c r="K21" s="41"/>
      <c r="L21" s="90">
        <f>MAX(L22:L42)</f>
        <v>186.75</v>
      </c>
      <c r="M21" s="89">
        <f>SUM($M$22:$M$42)</f>
        <v>110666.98999999998</v>
      </c>
      <c r="N21" s="41"/>
      <c r="O21" s="41"/>
      <c r="P21" s="89">
        <f>SUM($P$22:$P$42)</f>
        <v>0</v>
      </c>
      <c r="Q21" s="89">
        <f ca="1">SUM($Q$22:$Q$42)</f>
        <v>0</v>
      </c>
      <c r="R21" s="89">
        <f>ROUND(IF(L21=0,0,P21/L21),2)</f>
        <v>0</v>
      </c>
      <c r="S21" s="89">
        <f ca="1">ROUND(IF(L21=0,0,Q21/L21),2)</f>
        <v>0</v>
      </c>
    </row>
    <row r="22" spans="1:21" ht="15" customHeight="1" x14ac:dyDescent="0.2">
      <c r="A22" s="22">
        <v>1</v>
      </c>
      <c r="B22" s="91" t="s">
        <v>222</v>
      </c>
      <c r="C22" s="92"/>
      <c r="D22" s="92"/>
      <c r="E22" s="92" t="s">
        <v>223</v>
      </c>
      <c r="F22" s="92" t="s">
        <v>224</v>
      </c>
      <c r="G22" s="62">
        <v>4.8600000000000003</v>
      </c>
      <c r="H22" s="62"/>
      <c r="I22" s="62"/>
      <c r="J22" s="22" t="s">
        <v>264</v>
      </c>
      <c r="K22" s="62">
        <v>5</v>
      </c>
      <c r="L22" s="41">
        <f>VLOOKUP(K22,Reinigungstage!A10:B31,2,FALSE)</f>
        <v>186.75</v>
      </c>
      <c r="M22" s="41">
        <f t="shared" ref="M22:M42" si="0">ROUND(IF(L22=0,0,L22*G22),2)</f>
        <v>907.61</v>
      </c>
      <c r="N22" s="93"/>
      <c r="O22" s="41">
        <f ca="1">IF('SVS UnterhaltsRG'!H61="",0,'SVS UnterhaltsRG'!H61)</f>
        <v>0</v>
      </c>
      <c r="P22" s="41">
        <f t="shared" ref="P22:P42" si="1">ROUND(IF(N22=0,0,M22/N22),2)</f>
        <v>0</v>
      </c>
      <c r="Q22" s="41">
        <f t="shared" ref="Q22:Q42" ca="1" si="2">IF(M22=0,0,IF(O22="",0,ROUND(P22*O22,2)))</f>
        <v>0</v>
      </c>
      <c r="R22" s="41">
        <f t="shared" ref="R22:R42" si="3">ROUND(IF(P22=0,0,P22/L22),2)</f>
        <v>0</v>
      </c>
      <c r="S22" s="41">
        <f t="shared" ref="S22:S42" ca="1" si="4">ROUND(IF(Q22=0,0,Q22/L22),2)</f>
        <v>0</v>
      </c>
      <c r="T22" s="4" t="str">
        <f t="shared" ref="T22:T42" si="5">IF(M22=0,"",IF(N22=0,"Leistungswert eintragen",IF(O22=0,"SVS prüfen","")))</f>
        <v>Leistungswert eintragen</v>
      </c>
      <c r="U22" s="4">
        <f t="shared" ref="U22:U42" si="6">VLOOKUP(J22,$U$4:$V$10,2,FALSE)</f>
        <v>0</v>
      </c>
    </row>
    <row r="23" spans="1:21" ht="15" customHeight="1" x14ac:dyDescent="0.2">
      <c r="A23" s="22">
        <v>2</v>
      </c>
      <c r="B23" s="91" t="s">
        <v>225</v>
      </c>
      <c r="C23" s="92"/>
      <c r="D23" s="92"/>
      <c r="E23" s="92" t="s">
        <v>226</v>
      </c>
      <c r="F23" s="92" t="s">
        <v>227</v>
      </c>
      <c r="G23" s="62">
        <v>44.63</v>
      </c>
      <c r="H23" s="62"/>
      <c r="I23" s="62"/>
      <c r="J23" s="22" t="s">
        <v>264</v>
      </c>
      <c r="K23" s="62">
        <v>5</v>
      </c>
      <c r="L23" s="41">
        <f>VLOOKUP(K23,Reinigungstage!A10:B31,2,FALSE)</f>
        <v>186.75</v>
      </c>
      <c r="M23" s="41">
        <f t="shared" si="0"/>
        <v>8334.65</v>
      </c>
      <c r="N23" s="93"/>
      <c r="O23" s="41">
        <f ca="1">IF('SVS UnterhaltsRG'!H61="",0,'SVS UnterhaltsRG'!H61)</f>
        <v>0</v>
      </c>
      <c r="P23" s="41">
        <f t="shared" si="1"/>
        <v>0</v>
      </c>
      <c r="Q23" s="41">
        <f t="shared" ca="1" si="2"/>
        <v>0</v>
      </c>
      <c r="R23" s="41">
        <f t="shared" si="3"/>
        <v>0</v>
      </c>
      <c r="S23" s="41">
        <f t="shared" ca="1" si="4"/>
        <v>0</v>
      </c>
      <c r="T23" s="4" t="str">
        <f t="shared" si="5"/>
        <v>Leistungswert eintragen</v>
      </c>
      <c r="U23" s="4">
        <f t="shared" si="6"/>
        <v>0</v>
      </c>
    </row>
    <row r="24" spans="1:21" ht="15" customHeight="1" x14ac:dyDescent="0.2">
      <c r="A24" s="22">
        <v>3</v>
      </c>
      <c r="B24" s="91" t="s">
        <v>228</v>
      </c>
      <c r="C24" s="92"/>
      <c r="D24" s="92"/>
      <c r="E24" s="92" t="s">
        <v>229</v>
      </c>
      <c r="F24" s="92" t="s">
        <v>227</v>
      </c>
      <c r="G24" s="62">
        <v>124.32</v>
      </c>
      <c r="H24" s="62"/>
      <c r="I24" s="62"/>
      <c r="J24" s="22" t="s">
        <v>265</v>
      </c>
      <c r="K24" s="62">
        <v>5</v>
      </c>
      <c r="L24" s="41">
        <f>VLOOKUP(K24,Reinigungstage!A10:B31,2,FALSE)</f>
        <v>186.75</v>
      </c>
      <c r="M24" s="41">
        <f t="shared" si="0"/>
        <v>23216.76</v>
      </c>
      <c r="N24" s="93"/>
      <c r="O24" s="41">
        <f ca="1">IF('SVS UnterhaltsRG'!H61="",0,'SVS UnterhaltsRG'!H61)</f>
        <v>0</v>
      </c>
      <c r="P24" s="41">
        <f t="shared" si="1"/>
        <v>0</v>
      </c>
      <c r="Q24" s="41">
        <f t="shared" ca="1" si="2"/>
        <v>0</v>
      </c>
      <c r="R24" s="41">
        <f t="shared" si="3"/>
        <v>0</v>
      </c>
      <c r="S24" s="41">
        <f t="shared" ca="1" si="4"/>
        <v>0</v>
      </c>
      <c r="T24" s="4" t="str">
        <f t="shared" si="5"/>
        <v>Leistungswert eintragen</v>
      </c>
      <c r="U24" s="4">
        <f t="shared" si="6"/>
        <v>0</v>
      </c>
    </row>
    <row r="25" spans="1:21" ht="15" customHeight="1" x14ac:dyDescent="0.2">
      <c r="A25" s="22">
        <v>4</v>
      </c>
      <c r="B25" s="91" t="s">
        <v>230</v>
      </c>
      <c r="C25" s="92"/>
      <c r="D25" s="92"/>
      <c r="E25" s="92" t="s">
        <v>231</v>
      </c>
      <c r="F25" s="92" t="s">
        <v>227</v>
      </c>
      <c r="G25" s="62">
        <v>124.44</v>
      </c>
      <c r="H25" s="62"/>
      <c r="I25" s="62"/>
      <c r="J25" s="22" t="s">
        <v>265</v>
      </c>
      <c r="K25" s="62">
        <v>5</v>
      </c>
      <c r="L25" s="41">
        <f>VLOOKUP(K25,Reinigungstage!A10:B31,2,FALSE)</f>
        <v>186.75</v>
      </c>
      <c r="M25" s="41">
        <f t="shared" si="0"/>
        <v>23239.17</v>
      </c>
      <c r="N25" s="93"/>
      <c r="O25" s="41">
        <f ca="1">IF('SVS UnterhaltsRG'!H61="",0,'SVS UnterhaltsRG'!H61)</f>
        <v>0</v>
      </c>
      <c r="P25" s="41">
        <f t="shared" si="1"/>
        <v>0</v>
      </c>
      <c r="Q25" s="41">
        <f t="shared" ca="1" si="2"/>
        <v>0</v>
      </c>
      <c r="R25" s="41">
        <f t="shared" si="3"/>
        <v>0</v>
      </c>
      <c r="S25" s="41">
        <f t="shared" ca="1" si="4"/>
        <v>0</v>
      </c>
      <c r="T25" s="4" t="str">
        <f t="shared" si="5"/>
        <v>Leistungswert eintragen</v>
      </c>
      <c r="U25" s="4">
        <f t="shared" si="6"/>
        <v>0</v>
      </c>
    </row>
    <row r="26" spans="1:21" ht="15" customHeight="1" x14ac:dyDescent="0.2">
      <c r="A26" s="22">
        <v>5</v>
      </c>
      <c r="B26" s="91" t="s">
        <v>232</v>
      </c>
      <c r="C26" s="92"/>
      <c r="D26" s="92"/>
      <c r="E26" s="92" t="s">
        <v>233</v>
      </c>
      <c r="F26" s="92" t="s">
        <v>227</v>
      </c>
      <c r="G26" s="62">
        <v>17.54</v>
      </c>
      <c r="H26" s="62"/>
      <c r="I26" s="62"/>
      <c r="J26" s="22" t="s">
        <v>266</v>
      </c>
      <c r="K26" s="62">
        <v>1</v>
      </c>
      <c r="L26" s="41">
        <f>VLOOKUP(K26,Reinigungstage!A10:B31,2,FALSE)</f>
        <v>38.79</v>
      </c>
      <c r="M26" s="41">
        <f t="shared" si="0"/>
        <v>680.38</v>
      </c>
      <c r="N26" s="93"/>
      <c r="O26" s="41">
        <f ca="1">IF('SVS UnterhaltsRG'!H61="",0,'SVS UnterhaltsRG'!H61)</f>
        <v>0</v>
      </c>
      <c r="P26" s="41">
        <f t="shared" si="1"/>
        <v>0</v>
      </c>
      <c r="Q26" s="41">
        <f t="shared" ca="1" si="2"/>
        <v>0</v>
      </c>
      <c r="R26" s="41">
        <f t="shared" si="3"/>
        <v>0</v>
      </c>
      <c r="S26" s="41">
        <f t="shared" ca="1" si="4"/>
        <v>0</v>
      </c>
      <c r="T26" s="4" t="str">
        <f t="shared" si="5"/>
        <v>Leistungswert eintragen</v>
      </c>
      <c r="U26" s="4">
        <f t="shared" si="6"/>
        <v>0</v>
      </c>
    </row>
    <row r="27" spans="1:21" ht="15" customHeight="1" x14ac:dyDescent="0.2">
      <c r="A27" s="22">
        <v>6</v>
      </c>
      <c r="B27" s="91" t="s">
        <v>234</v>
      </c>
      <c r="C27" s="92"/>
      <c r="D27" s="92"/>
      <c r="E27" s="92" t="s">
        <v>235</v>
      </c>
      <c r="F27" s="92" t="s">
        <v>224</v>
      </c>
      <c r="G27" s="62">
        <v>9.3800000000000008</v>
      </c>
      <c r="H27" s="62"/>
      <c r="I27" s="62"/>
      <c r="J27" s="22" t="s">
        <v>267</v>
      </c>
      <c r="K27" s="62">
        <v>5</v>
      </c>
      <c r="L27" s="41">
        <f>VLOOKUP(K27,Reinigungstage!A10:B31,2,FALSE)</f>
        <v>186.75</v>
      </c>
      <c r="M27" s="41">
        <f t="shared" si="0"/>
        <v>1751.72</v>
      </c>
      <c r="N27" s="93"/>
      <c r="O27" s="41">
        <f ca="1">IF('SVS UnterhaltsRG'!H61="",0,'SVS UnterhaltsRG'!H61)</f>
        <v>0</v>
      </c>
      <c r="P27" s="41">
        <f t="shared" si="1"/>
        <v>0</v>
      </c>
      <c r="Q27" s="41">
        <f t="shared" ca="1" si="2"/>
        <v>0</v>
      </c>
      <c r="R27" s="41">
        <f t="shared" si="3"/>
        <v>0</v>
      </c>
      <c r="S27" s="41">
        <f t="shared" ca="1" si="4"/>
        <v>0</v>
      </c>
      <c r="T27" s="4" t="str">
        <f t="shared" si="5"/>
        <v>Leistungswert eintragen</v>
      </c>
      <c r="U27" s="4">
        <f t="shared" si="6"/>
        <v>0</v>
      </c>
    </row>
    <row r="28" spans="1:21" ht="15" customHeight="1" x14ac:dyDescent="0.2">
      <c r="A28" s="22">
        <v>7</v>
      </c>
      <c r="B28" s="91" t="s">
        <v>236</v>
      </c>
      <c r="C28" s="92"/>
      <c r="D28" s="92"/>
      <c r="E28" s="92" t="s">
        <v>237</v>
      </c>
      <c r="F28" s="92" t="s">
        <v>224</v>
      </c>
      <c r="G28" s="62">
        <v>9.3800000000000008</v>
      </c>
      <c r="H28" s="62"/>
      <c r="I28" s="62"/>
      <c r="J28" s="22" t="s">
        <v>267</v>
      </c>
      <c r="K28" s="62">
        <v>5</v>
      </c>
      <c r="L28" s="41">
        <f>VLOOKUP(K28,Reinigungstage!A10:B31,2,FALSE)</f>
        <v>186.75</v>
      </c>
      <c r="M28" s="41">
        <f t="shared" si="0"/>
        <v>1751.72</v>
      </c>
      <c r="N28" s="93"/>
      <c r="O28" s="41">
        <f ca="1">IF('SVS UnterhaltsRG'!H61="",0,'SVS UnterhaltsRG'!H61)</f>
        <v>0</v>
      </c>
      <c r="P28" s="41">
        <f t="shared" si="1"/>
        <v>0</v>
      </c>
      <c r="Q28" s="41">
        <f t="shared" ca="1" si="2"/>
        <v>0</v>
      </c>
      <c r="R28" s="41">
        <f t="shared" si="3"/>
        <v>0</v>
      </c>
      <c r="S28" s="41">
        <f t="shared" ca="1" si="4"/>
        <v>0</v>
      </c>
      <c r="T28" s="4" t="str">
        <f t="shared" si="5"/>
        <v>Leistungswert eintragen</v>
      </c>
      <c r="U28" s="4">
        <f t="shared" si="6"/>
        <v>0</v>
      </c>
    </row>
    <row r="29" spans="1:21" ht="15" customHeight="1" x14ac:dyDescent="0.2">
      <c r="A29" s="22">
        <v>8</v>
      </c>
      <c r="B29" s="91" t="s">
        <v>238</v>
      </c>
      <c r="C29" s="92"/>
      <c r="D29" s="92"/>
      <c r="E29" s="92" t="s">
        <v>239</v>
      </c>
      <c r="F29" s="92" t="s">
        <v>224</v>
      </c>
      <c r="G29" s="62">
        <v>5.85</v>
      </c>
      <c r="H29" s="62"/>
      <c r="I29" s="62"/>
      <c r="J29" s="22" t="s">
        <v>267</v>
      </c>
      <c r="K29" s="62">
        <v>5</v>
      </c>
      <c r="L29" s="41">
        <f>VLOOKUP(K29,Reinigungstage!A10:B31,2,FALSE)</f>
        <v>186.75</v>
      </c>
      <c r="M29" s="41">
        <f t="shared" si="0"/>
        <v>1092.49</v>
      </c>
      <c r="N29" s="93"/>
      <c r="O29" s="41">
        <f ca="1">IF('SVS UnterhaltsRG'!H61="",0,'SVS UnterhaltsRG'!H61)</f>
        <v>0</v>
      </c>
      <c r="P29" s="41">
        <f t="shared" si="1"/>
        <v>0</v>
      </c>
      <c r="Q29" s="41">
        <f t="shared" ca="1" si="2"/>
        <v>0</v>
      </c>
      <c r="R29" s="41">
        <f t="shared" si="3"/>
        <v>0</v>
      </c>
      <c r="S29" s="41">
        <f t="shared" ca="1" si="4"/>
        <v>0</v>
      </c>
      <c r="T29" s="4" t="str">
        <f t="shared" si="5"/>
        <v>Leistungswert eintragen</v>
      </c>
      <c r="U29" s="4">
        <f t="shared" si="6"/>
        <v>0</v>
      </c>
    </row>
    <row r="30" spans="1:21" ht="15" customHeight="1" x14ac:dyDescent="0.2">
      <c r="A30" s="22">
        <v>9</v>
      </c>
      <c r="B30" s="91" t="s">
        <v>240</v>
      </c>
      <c r="C30" s="92"/>
      <c r="D30" s="92"/>
      <c r="E30" s="92" t="s">
        <v>241</v>
      </c>
      <c r="F30" s="92" t="s">
        <v>242</v>
      </c>
      <c r="G30" s="62">
        <v>3.6</v>
      </c>
      <c r="H30" s="62"/>
      <c r="I30" s="62"/>
      <c r="J30" s="22" t="s">
        <v>268</v>
      </c>
      <c r="K30" s="62">
        <v>0</v>
      </c>
      <c r="L30" s="41">
        <f>VLOOKUP(K30,Reinigungstage!A10:B31,2,FALSE)</f>
        <v>0</v>
      </c>
      <c r="M30" s="41">
        <f t="shared" si="0"/>
        <v>0</v>
      </c>
      <c r="N30" s="93"/>
      <c r="O30" s="41">
        <f ca="1">IF('SVS UnterhaltsRG'!H61="",0,'SVS UnterhaltsRG'!H61)</f>
        <v>0</v>
      </c>
      <c r="P30" s="41">
        <f t="shared" si="1"/>
        <v>0</v>
      </c>
      <c r="Q30" s="41">
        <f t="shared" si="2"/>
        <v>0</v>
      </c>
      <c r="R30" s="41">
        <f t="shared" si="3"/>
        <v>0</v>
      </c>
      <c r="S30" s="41">
        <f t="shared" si="4"/>
        <v>0</v>
      </c>
      <c r="T30" s="4" t="str">
        <f t="shared" si="5"/>
        <v/>
      </c>
      <c r="U30" s="4">
        <f t="shared" si="6"/>
        <v>0</v>
      </c>
    </row>
    <row r="31" spans="1:21" ht="24.95" customHeight="1" x14ac:dyDescent="0.2">
      <c r="A31" s="22">
        <v>10</v>
      </c>
      <c r="B31" s="91" t="s">
        <v>243</v>
      </c>
      <c r="C31" s="92"/>
      <c r="D31" s="92"/>
      <c r="E31" s="92" t="s">
        <v>244</v>
      </c>
      <c r="F31" s="92" t="s">
        <v>224</v>
      </c>
      <c r="G31" s="62">
        <v>104.26</v>
      </c>
      <c r="H31" s="62"/>
      <c r="I31" s="62"/>
      <c r="J31" s="22" t="s">
        <v>265</v>
      </c>
      <c r="K31" s="62">
        <v>5</v>
      </c>
      <c r="L31" s="41">
        <f>VLOOKUP(K31,Reinigungstage!A10:B31,2,FALSE)</f>
        <v>186.75</v>
      </c>
      <c r="M31" s="41">
        <f t="shared" si="0"/>
        <v>19470.560000000001</v>
      </c>
      <c r="N31" s="93"/>
      <c r="O31" s="41">
        <f ca="1">IF('SVS UnterhaltsRG'!H61="",0,'SVS UnterhaltsRG'!H61)</f>
        <v>0</v>
      </c>
      <c r="P31" s="41">
        <f t="shared" si="1"/>
        <v>0</v>
      </c>
      <c r="Q31" s="41">
        <f t="shared" ca="1" si="2"/>
        <v>0</v>
      </c>
      <c r="R31" s="41">
        <f t="shared" si="3"/>
        <v>0</v>
      </c>
      <c r="S31" s="41">
        <f t="shared" ca="1" si="4"/>
        <v>0</v>
      </c>
      <c r="T31" s="4" t="str">
        <f t="shared" si="5"/>
        <v>Leistungswert eintragen</v>
      </c>
      <c r="U31" s="4">
        <f t="shared" si="6"/>
        <v>0</v>
      </c>
    </row>
    <row r="32" spans="1:21" ht="15" customHeight="1" x14ac:dyDescent="0.2">
      <c r="A32" s="22">
        <v>11</v>
      </c>
      <c r="B32" s="91" t="s">
        <v>245</v>
      </c>
      <c r="C32" s="92"/>
      <c r="D32" s="92"/>
      <c r="E32" s="92" t="s">
        <v>246</v>
      </c>
      <c r="F32" s="92" t="s">
        <v>227</v>
      </c>
      <c r="G32" s="62">
        <v>193.19</v>
      </c>
      <c r="H32" s="62"/>
      <c r="I32" s="62"/>
      <c r="J32" s="22" t="s">
        <v>269</v>
      </c>
      <c r="K32" s="62">
        <v>0</v>
      </c>
      <c r="L32" s="41">
        <f>VLOOKUP(K32,Reinigungstage!A10:B31,2,FALSE)</f>
        <v>0</v>
      </c>
      <c r="M32" s="41">
        <f t="shared" si="0"/>
        <v>0</v>
      </c>
      <c r="N32" s="93"/>
      <c r="O32" s="41"/>
      <c r="P32" s="41">
        <f t="shared" si="1"/>
        <v>0</v>
      </c>
      <c r="Q32" s="41">
        <f t="shared" si="2"/>
        <v>0</v>
      </c>
      <c r="R32" s="41">
        <f t="shared" si="3"/>
        <v>0</v>
      </c>
      <c r="S32" s="41">
        <f t="shared" si="4"/>
        <v>0</v>
      </c>
      <c r="T32" s="4" t="str">
        <f t="shared" si="5"/>
        <v/>
      </c>
      <c r="U32" s="4">
        <f t="shared" si="6"/>
        <v>0</v>
      </c>
    </row>
    <row r="33" spans="1:21" ht="24.95" customHeight="1" x14ac:dyDescent="0.2">
      <c r="A33" s="22">
        <v>12</v>
      </c>
      <c r="B33" s="91" t="s">
        <v>247</v>
      </c>
      <c r="C33" s="92"/>
      <c r="D33" s="92" t="s">
        <v>248</v>
      </c>
      <c r="E33" s="92" t="s">
        <v>249</v>
      </c>
      <c r="F33" s="92" t="s">
        <v>224</v>
      </c>
      <c r="G33" s="62">
        <v>12.45</v>
      </c>
      <c r="H33" s="62"/>
      <c r="I33" s="62"/>
      <c r="J33" s="22" t="s">
        <v>264</v>
      </c>
      <c r="K33" s="62">
        <v>5</v>
      </c>
      <c r="L33" s="41">
        <f>VLOOKUP(K33,Reinigungstage!A10:B31,2,FALSE)</f>
        <v>186.75</v>
      </c>
      <c r="M33" s="41">
        <f t="shared" si="0"/>
        <v>2325.04</v>
      </c>
      <c r="N33" s="93"/>
      <c r="O33" s="41"/>
      <c r="P33" s="41">
        <f t="shared" si="1"/>
        <v>0</v>
      </c>
      <c r="Q33" s="41">
        <f t="shared" si="2"/>
        <v>0</v>
      </c>
      <c r="R33" s="41">
        <f t="shared" si="3"/>
        <v>0</v>
      </c>
      <c r="S33" s="41">
        <f t="shared" si="4"/>
        <v>0</v>
      </c>
      <c r="T33" s="4" t="str">
        <f t="shared" si="5"/>
        <v>Leistungswert eintragen</v>
      </c>
      <c r="U33" s="4">
        <f t="shared" si="6"/>
        <v>0</v>
      </c>
    </row>
    <row r="34" spans="1:21" ht="24.95" customHeight="1" x14ac:dyDescent="0.2">
      <c r="A34" s="22">
        <v>13</v>
      </c>
      <c r="B34" s="91" t="s">
        <v>250</v>
      </c>
      <c r="C34" s="92"/>
      <c r="D34" s="92" t="s">
        <v>248</v>
      </c>
      <c r="E34" s="92" t="s">
        <v>251</v>
      </c>
      <c r="F34" s="92" t="s">
        <v>227</v>
      </c>
      <c r="G34" s="62">
        <v>59.32</v>
      </c>
      <c r="H34" s="62"/>
      <c r="I34" s="62"/>
      <c r="J34" s="22" t="s">
        <v>264</v>
      </c>
      <c r="K34" s="62">
        <v>5</v>
      </c>
      <c r="L34" s="41">
        <f>VLOOKUP(K34,Reinigungstage!A10:B31,2,FALSE)</f>
        <v>186.75</v>
      </c>
      <c r="M34" s="41">
        <f t="shared" si="0"/>
        <v>11078.01</v>
      </c>
      <c r="N34" s="148"/>
      <c r="O34" s="41"/>
      <c r="P34" s="41">
        <f t="shared" si="1"/>
        <v>0</v>
      </c>
      <c r="Q34" s="41">
        <f t="shared" si="2"/>
        <v>0</v>
      </c>
      <c r="R34" s="41">
        <f t="shared" si="3"/>
        <v>0</v>
      </c>
      <c r="S34" s="41">
        <f t="shared" si="4"/>
        <v>0</v>
      </c>
      <c r="T34" s="4" t="str">
        <f t="shared" si="5"/>
        <v>Leistungswert eintragen</v>
      </c>
      <c r="U34" s="4">
        <f t="shared" si="6"/>
        <v>0</v>
      </c>
    </row>
    <row r="35" spans="1:21" ht="24.95" customHeight="1" x14ac:dyDescent="0.2">
      <c r="A35" s="22">
        <v>14</v>
      </c>
      <c r="B35" s="91" t="s">
        <v>252</v>
      </c>
      <c r="C35" s="92"/>
      <c r="D35" s="92" t="s">
        <v>248</v>
      </c>
      <c r="E35" s="92" t="s">
        <v>253</v>
      </c>
      <c r="F35" s="92" t="s">
        <v>254</v>
      </c>
      <c r="G35" s="62">
        <v>68.59</v>
      </c>
      <c r="H35" s="62"/>
      <c r="I35" s="62"/>
      <c r="J35" s="22" t="s">
        <v>265</v>
      </c>
      <c r="K35" s="62">
        <v>3</v>
      </c>
      <c r="L35" s="41">
        <f>VLOOKUP(K35,Reinigungstage!A10:B31,2,FALSE)</f>
        <v>112.05</v>
      </c>
      <c r="M35" s="41">
        <f t="shared" si="0"/>
        <v>7685.51</v>
      </c>
      <c r="N35" s="148"/>
      <c r="O35" s="41"/>
      <c r="P35" s="41">
        <f t="shared" si="1"/>
        <v>0</v>
      </c>
      <c r="Q35" s="41">
        <f t="shared" si="2"/>
        <v>0</v>
      </c>
      <c r="R35" s="41">
        <f t="shared" si="3"/>
        <v>0</v>
      </c>
      <c r="S35" s="41">
        <f t="shared" si="4"/>
        <v>0</v>
      </c>
      <c r="T35" s="4" t="str">
        <f t="shared" si="5"/>
        <v>Leistungswert eintragen</v>
      </c>
      <c r="U35" s="4">
        <f t="shared" si="6"/>
        <v>0</v>
      </c>
    </row>
    <row r="36" spans="1:21" ht="24.95" customHeight="1" x14ac:dyDescent="0.2">
      <c r="A36" s="22">
        <v>15</v>
      </c>
      <c r="B36" s="91" t="s">
        <v>255</v>
      </c>
      <c r="C36" s="92"/>
      <c r="D36" s="92" t="s">
        <v>248</v>
      </c>
      <c r="E36" s="92" t="s">
        <v>256</v>
      </c>
      <c r="F36" s="92" t="s">
        <v>227</v>
      </c>
      <c r="G36" s="62">
        <v>3.4</v>
      </c>
      <c r="H36" s="62"/>
      <c r="I36" s="62"/>
      <c r="J36" s="22" t="s">
        <v>268</v>
      </c>
      <c r="K36" s="62">
        <v>0</v>
      </c>
      <c r="L36" s="41">
        <f>VLOOKUP(K36,Reinigungstage!A10:B31,2,FALSE)</f>
        <v>0</v>
      </c>
      <c r="M36" s="41">
        <f t="shared" si="0"/>
        <v>0</v>
      </c>
      <c r="N36" s="148"/>
      <c r="O36" s="41"/>
      <c r="P36" s="41">
        <f t="shared" si="1"/>
        <v>0</v>
      </c>
      <c r="Q36" s="41">
        <f t="shared" si="2"/>
        <v>0</v>
      </c>
      <c r="R36" s="41">
        <f t="shared" si="3"/>
        <v>0</v>
      </c>
      <c r="S36" s="41">
        <f t="shared" si="4"/>
        <v>0</v>
      </c>
      <c r="T36" s="4" t="str">
        <f t="shared" si="5"/>
        <v/>
      </c>
      <c r="U36" s="4">
        <f t="shared" si="6"/>
        <v>0</v>
      </c>
    </row>
    <row r="37" spans="1:21" ht="24.95" customHeight="1" x14ac:dyDescent="0.2">
      <c r="A37" s="22">
        <v>16</v>
      </c>
      <c r="B37" s="91" t="s">
        <v>257</v>
      </c>
      <c r="C37" s="92"/>
      <c r="D37" s="92" t="s">
        <v>248</v>
      </c>
      <c r="E37" s="92" t="s">
        <v>237</v>
      </c>
      <c r="F37" s="92" t="s">
        <v>224</v>
      </c>
      <c r="G37" s="62">
        <v>18.489999999999998</v>
      </c>
      <c r="H37" s="62"/>
      <c r="I37" s="62"/>
      <c r="J37" s="22" t="s">
        <v>267</v>
      </c>
      <c r="K37" s="62">
        <v>5</v>
      </c>
      <c r="L37" s="41">
        <f>VLOOKUP(K37,Reinigungstage!A10:B31,2,FALSE)</f>
        <v>186.75</v>
      </c>
      <c r="M37" s="41">
        <f t="shared" si="0"/>
        <v>3453.01</v>
      </c>
      <c r="N37" s="148"/>
      <c r="O37" s="41"/>
      <c r="P37" s="41">
        <f t="shared" si="1"/>
        <v>0</v>
      </c>
      <c r="Q37" s="41">
        <f t="shared" si="2"/>
        <v>0</v>
      </c>
      <c r="R37" s="41">
        <f t="shared" si="3"/>
        <v>0</v>
      </c>
      <c r="S37" s="41">
        <f t="shared" si="4"/>
        <v>0</v>
      </c>
      <c r="T37" s="4" t="str">
        <f t="shared" si="5"/>
        <v>Leistungswert eintragen</v>
      </c>
      <c r="U37" s="4">
        <f t="shared" si="6"/>
        <v>0</v>
      </c>
    </row>
    <row r="38" spans="1:21" ht="24.95" customHeight="1" x14ac:dyDescent="0.2">
      <c r="A38" s="22">
        <v>17</v>
      </c>
      <c r="B38" s="91" t="s">
        <v>258</v>
      </c>
      <c r="C38" s="92"/>
      <c r="D38" s="92" t="s">
        <v>248</v>
      </c>
      <c r="E38" s="92" t="s">
        <v>241</v>
      </c>
      <c r="F38" s="92" t="s">
        <v>242</v>
      </c>
      <c r="G38" s="62">
        <v>3.98</v>
      </c>
      <c r="H38" s="62"/>
      <c r="I38" s="62"/>
      <c r="J38" s="22" t="s">
        <v>268</v>
      </c>
      <c r="K38" s="62">
        <v>0</v>
      </c>
      <c r="L38" s="41">
        <f>VLOOKUP(K38,Reinigungstage!A10:B31,2,FALSE)</f>
        <v>0</v>
      </c>
      <c r="M38" s="41">
        <f t="shared" si="0"/>
        <v>0</v>
      </c>
      <c r="N38" s="148"/>
      <c r="O38" s="41"/>
      <c r="P38" s="41">
        <f t="shared" si="1"/>
        <v>0</v>
      </c>
      <c r="Q38" s="41">
        <f t="shared" si="2"/>
        <v>0</v>
      </c>
      <c r="R38" s="41">
        <f t="shared" si="3"/>
        <v>0</v>
      </c>
      <c r="S38" s="41">
        <f t="shared" si="4"/>
        <v>0</v>
      </c>
      <c r="T38" s="4" t="str">
        <f t="shared" si="5"/>
        <v/>
      </c>
      <c r="U38" s="4">
        <f t="shared" si="6"/>
        <v>0</v>
      </c>
    </row>
    <row r="39" spans="1:21" ht="24.95" customHeight="1" x14ac:dyDescent="0.2">
      <c r="A39" s="22">
        <v>18</v>
      </c>
      <c r="B39" s="91" t="s">
        <v>259</v>
      </c>
      <c r="C39" s="92"/>
      <c r="D39" s="92" t="s">
        <v>248</v>
      </c>
      <c r="E39" s="92" t="s">
        <v>260</v>
      </c>
      <c r="F39" s="92" t="s">
        <v>227</v>
      </c>
      <c r="G39" s="62">
        <v>5.51</v>
      </c>
      <c r="H39" s="62"/>
      <c r="I39" s="62"/>
      <c r="J39" s="22" t="s">
        <v>268</v>
      </c>
      <c r="K39" s="62">
        <v>0</v>
      </c>
      <c r="L39" s="41">
        <f>VLOOKUP(K39,Reinigungstage!A10:B31,2,FALSE)</f>
        <v>0</v>
      </c>
      <c r="M39" s="41">
        <f t="shared" si="0"/>
        <v>0</v>
      </c>
      <c r="N39" s="148"/>
      <c r="O39" s="41"/>
      <c r="P39" s="41">
        <f t="shared" si="1"/>
        <v>0</v>
      </c>
      <c r="Q39" s="41">
        <f t="shared" si="2"/>
        <v>0</v>
      </c>
      <c r="R39" s="41">
        <f t="shared" si="3"/>
        <v>0</v>
      </c>
      <c r="S39" s="41">
        <f t="shared" si="4"/>
        <v>0</v>
      </c>
      <c r="T39" s="4" t="str">
        <f t="shared" si="5"/>
        <v/>
      </c>
      <c r="U39" s="4">
        <f t="shared" si="6"/>
        <v>0</v>
      </c>
    </row>
    <row r="40" spans="1:21" ht="24.95" customHeight="1" x14ac:dyDescent="0.2">
      <c r="A40" s="22">
        <v>19</v>
      </c>
      <c r="B40" s="91" t="s">
        <v>261</v>
      </c>
      <c r="C40" s="92"/>
      <c r="D40" s="92" t="s">
        <v>248</v>
      </c>
      <c r="E40" s="92" t="s">
        <v>235</v>
      </c>
      <c r="F40" s="92" t="s">
        <v>224</v>
      </c>
      <c r="G40" s="62">
        <v>16.87</v>
      </c>
      <c r="H40" s="62"/>
      <c r="I40" s="62"/>
      <c r="J40" s="22" t="s">
        <v>267</v>
      </c>
      <c r="K40" s="62">
        <v>5</v>
      </c>
      <c r="L40" s="41">
        <f>VLOOKUP(K40,Reinigungstage!A10:B31,2,FALSE)</f>
        <v>186.75</v>
      </c>
      <c r="M40" s="41">
        <f t="shared" si="0"/>
        <v>3150.47</v>
      </c>
      <c r="N40" s="148"/>
      <c r="O40" s="41"/>
      <c r="P40" s="41">
        <f t="shared" si="1"/>
        <v>0</v>
      </c>
      <c r="Q40" s="41">
        <f t="shared" si="2"/>
        <v>0</v>
      </c>
      <c r="R40" s="41">
        <f t="shared" si="3"/>
        <v>0</v>
      </c>
      <c r="S40" s="41">
        <f t="shared" si="4"/>
        <v>0</v>
      </c>
      <c r="T40" s="4" t="str">
        <f t="shared" si="5"/>
        <v>Leistungswert eintragen</v>
      </c>
      <c r="U40" s="4">
        <f t="shared" si="6"/>
        <v>0</v>
      </c>
    </row>
    <row r="41" spans="1:21" ht="24.95" customHeight="1" x14ac:dyDescent="0.2">
      <c r="A41" s="22">
        <v>20</v>
      </c>
      <c r="B41" s="91" t="s">
        <v>262</v>
      </c>
      <c r="C41" s="92"/>
      <c r="D41" s="92" t="s">
        <v>248</v>
      </c>
      <c r="E41" s="92" t="s">
        <v>239</v>
      </c>
      <c r="F41" s="92" t="s">
        <v>224</v>
      </c>
      <c r="G41" s="62">
        <v>5.79</v>
      </c>
      <c r="H41" s="62"/>
      <c r="I41" s="62"/>
      <c r="J41" s="22" t="s">
        <v>267</v>
      </c>
      <c r="K41" s="62">
        <v>5</v>
      </c>
      <c r="L41" s="41">
        <f>VLOOKUP(K41,Reinigungstage!A10:B31,2,FALSE)</f>
        <v>186.75</v>
      </c>
      <c r="M41" s="41">
        <f t="shared" si="0"/>
        <v>1081.28</v>
      </c>
      <c r="N41" s="148"/>
      <c r="O41" s="41"/>
      <c r="P41" s="41">
        <f t="shared" si="1"/>
        <v>0</v>
      </c>
      <c r="Q41" s="41">
        <f t="shared" si="2"/>
        <v>0</v>
      </c>
      <c r="R41" s="41">
        <f t="shared" si="3"/>
        <v>0</v>
      </c>
      <c r="S41" s="41">
        <f t="shared" si="4"/>
        <v>0</v>
      </c>
      <c r="T41" s="4" t="str">
        <f t="shared" si="5"/>
        <v>Leistungswert eintragen</v>
      </c>
      <c r="U41" s="4">
        <f t="shared" si="6"/>
        <v>0</v>
      </c>
    </row>
    <row r="42" spans="1:21" ht="24.95" customHeight="1" x14ac:dyDescent="0.2">
      <c r="A42" s="22">
        <v>21</v>
      </c>
      <c r="B42" s="91"/>
      <c r="C42" s="92"/>
      <c r="D42" s="92"/>
      <c r="E42" s="92" t="s">
        <v>263</v>
      </c>
      <c r="F42" s="92" t="s">
        <v>578</v>
      </c>
      <c r="G42" s="62">
        <v>18.670000000000002</v>
      </c>
      <c r="H42" s="62"/>
      <c r="I42" s="62"/>
      <c r="J42" s="22" t="s">
        <v>270</v>
      </c>
      <c r="K42" s="62">
        <v>2</v>
      </c>
      <c r="L42" s="41">
        <f>VLOOKUP(K42,Reinigungstage!A10:B31,2,FALSE)</f>
        <v>77.59</v>
      </c>
      <c r="M42" s="41">
        <f t="shared" si="0"/>
        <v>1448.61</v>
      </c>
      <c r="N42" s="148"/>
      <c r="O42" s="41"/>
      <c r="P42" s="41">
        <f t="shared" si="1"/>
        <v>0</v>
      </c>
      <c r="Q42" s="41">
        <f t="shared" si="2"/>
        <v>0</v>
      </c>
      <c r="R42" s="41">
        <f t="shared" si="3"/>
        <v>0</v>
      </c>
      <c r="S42" s="41">
        <f t="shared" si="4"/>
        <v>0</v>
      </c>
      <c r="T42" s="4" t="str">
        <f t="shared" si="5"/>
        <v>Leistungswert eintragen</v>
      </c>
      <c r="U42" s="4">
        <f t="shared" si="6"/>
        <v>0</v>
      </c>
    </row>
  </sheetData>
  <sortState xmlns:xlrd2="http://schemas.microsoft.com/office/spreadsheetml/2017/richdata2" ref="U4:U10">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42">
    <cfRule type="containsText" dxfId="70" priority="1" stopIfTrue="1" operator="containsText" text="SVS prüfen">
      <formula>NOT(ISERROR(SEARCH("SVS prüfen",T22)))</formula>
    </cfRule>
    <cfRule type="containsText" dxfId="69" priority="2" stopIfTrue="1" operator="containsText" text="Leistungswert eintragen">
      <formula>NOT(ISERROR(SEARCH("Leistungswert eintragen",T22)))</formula>
    </cfRule>
  </conditionalFormatting>
  <hyperlinks>
    <hyperlink ref="M1" location="Inhaltsverzeichnis!A1" display="Zurück zum Inhaltsverzeichnis" xr:uid="{00000000-0004-0000-04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PvH AL1&amp;LAmt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89090"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89091"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89092"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X37"/>
  <sheetViews>
    <sheetView showGridLines="0" zoomScaleNormal="100" workbookViewId="0">
      <pane ySplit="21" topLeftCell="A30" activePane="bottomLeft" state="frozen"/>
      <selection pane="bottomLeft" activeCell="B6" sqref="B6:E6"/>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1.42578125" style="4" customWidth="1"/>
    <col min="14" max="14" width="9.42578125" style="4" customWidth="1"/>
    <col min="15" max="15" width="8.42578125" style="4" customWidth="1"/>
    <col min="16" max="17" width="11.42578125" style="4" customWidth="1"/>
    <col min="18" max="18" width="10.5703125" style="4" customWidth="1"/>
    <col min="19" max="19" width="25.5703125" style="4" customWidth="1"/>
    <col min="20" max="16384" width="6.42578125" style="4" hidden="1"/>
  </cols>
  <sheetData>
    <row r="1" spans="1:22" ht="15" customHeight="1" x14ac:dyDescent="0.2">
      <c r="M1" s="6" t="s">
        <v>100</v>
      </c>
    </row>
    <row r="2" spans="1:22" ht="20.45" customHeight="1" x14ac:dyDescent="0.2">
      <c r="A2" s="174" t="s">
        <v>158</v>
      </c>
      <c r="B2" s="175"/>
      <c r="C2" s="175"/>
      <c r="D2" s="175"/>
      <c r="E2" s="176"/>
      <c r="G2" s="177" t="s">
        <v>171</v>
      </c>
      <c r="H2" s="177" t="s">
        <v>163</v>
      </c>
      <c r="I2" s="177" t="s">
        <v>164</v>
      </c>
      <c r="J2" s="177" t="s">
        <v>183</v>
      </c>
      <c r="M2" s="80"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2" ht="24" customHeight="1" x14ac:dyDescent="0.2">
      <c r="A3" s="81" t="s">
        <v>166</v>
      </c>
      <c r="B3" s="82"/>
      <c r="C3" s="82"/>
      <c r="D3" s="82"/>
      <c r="E3" s="83"/>
      <c r="G3" s="178"/>
      <c r="H3" s="178"/>
      <c r="I3" s="178"/>
      <c r="J3" s="178"/>
      <c r="M3" s="80" t="b">
        <v>0</v>
      </c>
      <c r="N3" s="150"/>
      <c r="O3" s="150"/>
      <c r="P3" s="150"/>
      <c r="Q3" s="150"/>
    </row>
    <row r="4" spans="1:22" ht="18.600000000000001" customHeight="1" x14ac:dyDescent="0.2">
      <c r="A4" s="172" t="s">
        <v>91</v>
      </c>
      <c r="B4" s="182"/>
      <c r="C4" s="183"/>
      <c r="D4" s="183"/>
      <c r="E4" s="184"/>
      <c r="G4" s="22" t="s">
        <v>266</v>
      </c>
      <c r="H4" s="84"/>
      <c r="I4" s="85">
        <f ca="1">SUMIF('Kal Grund PvH AL1'!J22:M37,$G$4,'Kal Grund PvH AL1'!M22:M37)</f>
        <v>17.54</v>
      </c>
      <c r="J4" s="60">
        <f>COUNTIFS('Kal Grund PvH AL1'!J22:M37,$G$4)</f>
        <v>1</v>
      </c>
      <c r="M4" s="80" t="b">
        <v>0</v>
      </c>
      <c r="N4" s="150"/>
      <c r="O4" s="150"/>
      <c r="P4" s="150"/>
      <c r="Q4" s="150"/>
      <c r="U4" s="22" t="s">
        <v>266</v>
      </c>
      <c r="V4" s="4">
        <v>15</v>
      </c>
    </row>
    <row r="5" spans="1:22" ht="15" customHeight="1" x14ac:dyDescent="0.2">
      <c r="A5" s="173"/>
      <c r="B5" s="185"/>
      <c r="C5" s="186"/>
      <c r="D5" s="186"/>
      <c r="E5" s="187"/>
      <c r="G5" s="22" t="s">
        <v>267</v>
      </c>
      <c r="H5" s="84"/>
      <c r="I5" s="85">
        <f ca="1">SUMIF('Kal Grund PvH AL1'!J22:M37,$G$5,'Kal Grund PvH AL1'!M22:M37)</f>
        <v>65.760000000000005</v>
      </c>
      <c r="J5" s="60">
        <f>COUNTIFS('Kal Grund PvH AL1'!J22:M37,$G$5)</f>
        <v>6</v>
      </c>
      <c r="M5" s="80" t="b">
        <v>0</v>
      </c>
      <c r="N5" s="150"/>
      <c r="O5" s="150"/>
      <c r="P5" s="150"/>
      <c r="Q5" s="150"/>
      <c r="U5" s="22" t="s">
        <v>267</v>
      </c>
      <c r="V5" s="4">
        <v>7</v>
      </c>
    </row>
    <row r="6" spans="1:22" ht="15" customHeight="1" x14ac:dyDescent="0.2">
      <c r="A6" s="142" t="s">
        <v>181</v>
      </c>
      <c r="B6" s="197" t="s">
        <v>586</v>
      </c>
      <c r="C6" s="198"/>
      <c r="D6" s="198"/>
      <c r="E6" s="199"/>
      <c r="G6" s="22" t="s">
        <v>270</v>
      </c>
      <c r="H6" s="84"/>
      <c r="I6" s="85">
        <f ca="1">SUMIF('Kal Grund PvH AL1'!J22:M37,$G$6,'Kal Grund PvH AL1'!M22:M37)</f>
        <v>18.670000000000002</v>
      </c>
      <c r="J6" s="60">
        <f>COUNTIFS('Kal Grund PvH AL1'!J22:M37,$G$6)</f>
        <v>1</v>
      </c>
      <c r="U6" s="22" t="s">
        <v>268</v>
      </c>
      <c r="V6" s="4">
        <v>20</v>
      </c>
    </row>
    <row r="7" spans="1:22" ht="15" customHeight="1" x14ac:dyDescent="0.2">
      <c r="A7" s="87" t="s">
        <v>179</v>
      </c>
      <c r="B7" s="191" t="s">
        <v>205</v>
      </c>
      <c r="C7" s="192"/>
      <c r="D7" s="192"/>
      <c r="E7" s="193"/>
      <c r="G7" s="22" t="s">
        <v>265</v>
      </c>
      <c r="H7" s="84"/>
      <c r="I7" s="85">
        <f ca="1">SUMIF('Kal Grund PvH AL1'!J22:M37,$G$7,'Kal Grund PvH AL1'!M22:M37)</f>
        <v>421.61</v>
      </c>
      <c r="J7" s="60">
        <f>COUNTIFS('Kal Grund PvH AL1'!J22:M37,$G$7)</f>
        <v>4</v>
      </c>
      <c r="U7" s="22" t="s">
        <v>270</v>
      </c>
      <c r="V7" s="4">
        <v>14</v>
      </c>
    </row>
    <row r="8" spans="1:22" ht="15" customHeight="1" x14ac:dyDescent="0.2">
      <c r="A8" s="87" t="s">
        <v>180</v>
      </c>
      <c r="B8" s="194" t="s">
        <v>206</v>
      </c>
      <c r="C8" s="192"/>
      <c r="D8" s="192"/>
      <c r="E8" s="193"/>
      <c r="G8" s="22" t="s">
        <v>264</v>
      </c>
      <c r="H8" s="84"/>
      <c r="I8" s="85">
        <f ca="1">SUMIF('Kal Grund PvH AL1'!J22:M37,$G$8,'Kal Grund PvH AL1'!M22:M37)</f>
        <v>121.25999999999999</v>
      </c>
      <c r="J8" s="60">
        <f>COUNTIFS('Kal Grund PvH AL1'!J22:M37,$G$8)</f>
        <v>4</v>
      </c>
      <c r="L8" s="94" t="str">
        <f>IF(N14&gt;0,"Ihre Eintragungen der Leistungswerte liegen weit über den Erfahrungswerten aus der Preisschätzung.","")</f>
        <v/>
      </c>
      <c r="U8" s="22" t="s">
        <v>265</v>
      </c>
      <c r="V8" s="4">
        <v>14</v>
      </c>
    </row>
    <row r="9" spans="1:22" ht="15" customHeight="1" x14ac:dyDescent="0.2">
      <c r="A9" s="86" t="s">
        <v>178</v>
      </c>
      <c r="B9" s="195" t="s">
        <v>203</v>
      </c>
      <c r="C9" s="192"/>
      <c r="D9" s="192"/>
      <c r="E9" s="193"/>
      <c r="G9" s="95"/>
      <c r="H9" s="96"/>
      <c r="I9" s="96"/>
      <c r="J9" s="97"/>
      <c r="L9" s="94" t="str">
        <f>IF(N14&gt;0,"Bitte prüfen Sie diese.","")</f>
        <v/>
      </c>
      <c r="U9" s="22" t="s">
        <v>264</v>
      </c>
      <c r="V9" s="4">
        <v>24</v>
      </c>
    </row>
    <row r="10" spans="1:22" ht="15" customHeight="1" x14ac:dyDescent="0.2">
      <c r="A10" s="87" t="s">
        <v>160</v>
      </c>
      <c r="B10" s="194" t="s">
        <v>207</v>
      </c>
      <c r="C10" s="192"/>
      <c r="D10" s="192"/>
      <c r="E10" s="193"/>
      <c r="L10" s="94" t="str">
        <f>IF(N14&gt;0,"Beachten Sie, dass Sie frei in der Kalkulation dieser Leistungswerte sind und wir durch den Hinweis","")</f>
        <v/>
      </c>
      <c r="U10" s="22" t="s">
        <v>269</v>
      </c>
      <c r="V10" s="4">
        <v>16.5</v>
      </c>
    </row>
    <row r="11" spans="1:22" ht="15" customHeight="1" x14ac:dyDescent="0.2">
      <c r="A11" s="87" t="s">
        <v>161</v>
      </c>
      <c r="B11" s="196" t="s">
        <v>208</v>
      </c>
      <c r="C11" s="192"/>
      <c r="D11" s="192"/>
      <c r="E11" s="193"/>
      <c r="G11" s="147"/>
      <c r="H11" s="147"/>
      <c r="I11" s="147"/>
      <c r="L11" s="94" t="str">
        <f>IF(N14&gt;0,"lediglich Fehleingaben vermeiden wollen.","")</f>
        <v/>
      </c>
    </row>
    <row r="12" spans="1:22" ht="15" customHeight="1" x14ac:dyDescent="0.2">
      <c r="A12" s="87" t="s">
        <v>162</v>
      </c>
      <c r="B12" s="194" t="s">
        <v>209</v>
      </c>
      <c r="C12" s="192"/>
      <c r="D12" s="192"/>
      <c r="E12" s="193"/>
    </row>
    <row r="13" spans="1:22"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2" ht="15" customHeight="1" x14ac:dyDescent="0.2">
      <c r="N14" s="98">
        <f>COUNTIF(X22:X$37,1)</f>
        <v>0</v>
      </c>
      <c r="O14" s="4" t="str">
        <f>IF(N14&gt;0,"Wert(e) prüfen.","")</f>
        <v/>
      </c>
      <c r="S14" s="19">
        <f>IF(COUNTA($S$22:$S$37)-COUNTBLANK($S$22:$S$37)=0,"",COUNTA($S$22:$S$37)-COUNTBLANK($S$22:$S$37))</f>
        <v>16</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2" t="s">
        <v>92</v>
      </c>
      <c r="B20" s="2" t="s">
        <v>97</v>
      </c>
      <c r="C20" s="2" t="s">
        <v>93</v>
      </c>
      <c r="D20" s="2" t="s">
        <v>94</v>
      </c>
      <c r="E20" s="2" t="s">
        <v>98</v>
      </c>
      <c r="F20" s="2" t="s">
        <v>95</v>
      </c>
      <c r="G20" s="2" t="s">
        <v>115</v>
      </c>
      <c r="H20" s="2" t="s">
        <v>106</v>
      </c>
      <c r="I20" s="2" t="s">
        <v>107</v>
      </c>
      <c r="J20" s="2" t="s">
        <v>99</v>
      </c>
      <c r="K20" s="2" t="s">
        <v>104</v>
      </c>
      <c r="L20" s="2" t="s">
        <v>108</v>
      </c>
      <c r="M20" s="2" t="s">
        <v>109</v>
      </c>
      <c r="N20" s="2" t="s">
        <v>105</v>
      </c>
      <c r="O20" s="2" t="s">
        <v>110</v>
      </c>
      <c r="P20" s="2" t="s">
        <v>111</v>
      </c>
      <c r="Q20" s="2" t="s">
        <v>112</v>
      </c>
      <c r="R20" s="2" t="s">
        <v>134</v>
      </c>
    </row>
    <row r="21" spans="1:24" ht="29.1" customHeight="1" x14ac:dyDescent="0.2">
      <c r="A21" s="88" t="s">
        <v>119</v>
      </c>
      <c r="B21" s="13"/>
      <c r="C21" s="13"/>
      <c r="D21" s="13"/>
      <c r="E21" s="13"/>
      <c r="F21" s="13"/>
      <c r="G21" s="89">
        <f>SUM($G$22:$G$37)</f>
        <v>644.84</v>
      </c>
      <c r="H21" s="89">
        <f>SUM($H$22:$H$37)</f>
        <v>0</v>
      </c>
      <c r="I21" s="89">
        <f>SUM($I$22:$I$37)</f>
        <v>0</v>
      </c>
      <c r="J21" s="41"/>
      <c r="K21" s="41"/>
      <c r="L21" s="90">
        <f>MAX(L22:L37)</f>
        <v>1</v>
      </c>
      <c r="M21" s="89">
        <f>SUM($M$22:$M$37)</f>
        <v>644.84</v>
      </c>
      <c r="N21" s="41"/>
      <c r="O21" s="41"/>
      <c r="P21" s="89"/>
      <c r="Q21" s="89"/>
      <c r="R21" s="89"/>
    </row>
    <row r="22" spans="1:24" ht="15" customHeight="1" x14ac:dyDescent="0.2">
      <c r="A22" s="22">
        <v>1</v>
      </c>
      <c r="B22" s="91" t="s">
        <v>222</v>
      </c>
      <c r="C22" s="92"/>
      <c r="D22" s="92"/>
      <c r="E22" s="92" t="s">
        <v>223</v>
      </c>
      <c r="F22" s="92" t="s">
        <v>224</v>
      </c>
      <c r="G22" s="62">
        <v>4.8600000000000003</v>
      </c>
      <c r="H22" s="62"/>
      <c r="I22" s="62"/>
      <c r="J22" s="22" t="s">
        <v>264</v>
      </c>
      <c r="K22" s="22" t="s">
        <v>144</v>
      </c>
      <c r="L22" s="41">
        <f>VLOOKUP(K22,Reinigungstage!A10:I31,9,FALSE)</f>
        <v>1</v>
      </c>
      <c r="M22" s="41">
        <f t="shared" ref="M22:M37" si="0">ROUND(IF(L22=0,0,L22*G22),2)</f>
        <v>4.8600000000000003</v>
      </c>
      <c r="N22" s="93"/>
      <c r="O22" s="41"/>
      <c r="P22" s="41"/>
      <c r="Q22" s="41">
        <f t="shared" ref="Q22:Q37" si="1">ROUND(IF(P22=0,0,P22*O22),2)</f>
        <v>0</v>
      </c>
      <c r="R22" s="41">
        <f t="shared" ref="R22:R37" si="2">ROUND(IF(P22=0,0,Q22/L22),2)</f>
        <v>0</v>
      </c>
      <c r="S22" s="4" t="str">
        <f t="shared" ref="S22:S37" si="3">IF(M22=0,"",IF(N22=0,"Leistungswert eintragen",IF(O22=0,"SVS prüfen","")))</f>
        <v>Leistungswert eintragen</v>
      </c>
      <c r="U22" s="4">
        <f t="shared" ref="U22:U37" si="4">VLOOKUP(J22,$U$4:$V$10,2,FALSE)</f>
        <v>24</v>
      </c>
      <c r="V22" s="4">
        <f t="shared" ref="V22:V37" si="5">U22*30%</f>
        <v>7.1999999999999993</v>
      </c>
      <c r="W22" s="4">
        <f t="shared" ref="W22:W37" si="6">SUM(U22:V22)</f>
        <v>31.2</v>
      </c>
      <c r="X22" s="4" t="str">
        <f t="shared" ref="X22:X37" si="7">IF(N22=0,"",IF(W22&lt;N22,1,IF(W22&gt;=N22,0,"")))</f>
        <v/>
      </c>
    </row>
    <row r="23" spans="1:24" ht="15" customHeight="1" x14ac:dyDescent="0.2">
      <c r="A23" s="22">
        <v>2</v>
      </c>
      <c r="B23" s="91" t="s">
        <v>225</v>
      </c>
      <c r="C23" s="92"/>
      <c r="D23" s="92"/>
      <c r="E23" s="92" t="s">
        <v>226</v>
      </c>
      <c r="F23" s="92" t="s">
        <v>227</v>
      </c>
      <c r="G23" s="62">
        <v>44.63</v>
      </c>
      <c r="H23" s="62"/>
      <c r="I23" s="62"/>
      <c r="J23" s="22" t="s">
        <v>264</v>
      </c>
      <c r="K23" s="22" t="s">
        <v>144</v>
      </c>
      <c r="L23" s="41">
        <f>VLOOKUP(K23,Reinigungstage!A10:I31,9,FALSE)</f>
        <v>1</v>
      </c>
      <c r="M23" s="41">
        <f t="shared" si="0"/>
        <v>44.63</v>
      </c>
      <c r="N23" s="93"/>
      <c r="O23" s="41"/>
      <c r="P23" s="41"/>
      <c r="Q23" s="41">
        <f t="shared" si="1"/>
        <v>0</v>
      </c>
      <c r="R23" s="41">
        <f t="shared" si="2"/>
        <v>0</v>
      </c>
      <c r="S23" s="4" t="str">
        <f t="shared" si="3"/>
        <v>Leistungswert eintragen</v>
      </c>
      <c r="U23" s="4">
        <f t="shared" si="4"/>
        <v>24</v>
      </c>
      <c r="V23" s="4">
        <f t="shared" si="5"/>
        <v>7.1999999999999993</v>
      </c>
      <c r="W23" s="4">
        <f t="shared" si="6"/>
        <v>31.2</v>
      </c>
      <c r="X23" s="4" t="str">
        <f t="shared" si="7"/>
        <v/>
      </c>
    </row>
    <row r="24" spans="1:24" ht="15" customHeight="1" x14ac:dyDescent="0.2">
      <c r="A24" s="22">
        <v>3</v>
      </c>
      <c r="B24" s="91" t="s">
        <v>228</v>
      </c>
      <c r="C24" s="92"/>
      <c r="D24" s="92"/>
      <c r="E24" s="116" t="s">
        <v>229</v>
      </c>
      <c r="F24" s="92" t="s">
        <v>227</v>
      </c>
      <c r="G24" s="62">
        <v>124.32</v>
      </c>
      <c r="H24" s="62"/>
      <c r="I24" s="62"/>
      <c r="J24" s="22" t="s">
        <v>265</v>
      </c>
      <c r="K24" s="22" t="s">
        <v>144</v>
      </c>
      <c r="L24" s="41">
        <f>VLOOKUP(K24,Reinigungstage!A10:I31,9,FALSE)</f>
        <v>1</v>
      </c>
      <c r="M24" s="41">
        <f t="shared" si="0"/>
        <v>124.32</v>
      </c>
      <c r="N24" s="93"/>
      <c r="O24" s="41"/>
      <c r="P24" s="41"/>
      <c r="Q24" s="41">
        <f t="shared" si="1"/>
        <v>0</v>
      </c>
      <c r="R24" s="41">
        <f t="shared" si="2"/>
        <v>0</v>
      </c>
      <c r="S24" s="4" t="str">
        <f t="shared" si="3"/>
        <v>Leistungswert eintragen</v>
      </c>
      <c r="U24" s="4">
        <f t="shared" si="4"/>
        <v>14</v>
      </c>
      <c r="V24" s="4">
        <f t="shared" si="5"/>
        <v>4.2</v>
      </c>
      <c r="W24" s="4">
        <f t="shared" si="6"/>
        <v>18.2</v>
      </c>
      <c r="X24" s="4" t="str">
        <f t="shared" si="7"/>
        <v/>
      </c>
    </row>
    <row r="25" spans="1:24" ht="15" customHeight="1" x14ac:dyDescent="0.2">
      <c r="A25" s="22">
        <v>4</v>
      </c>
      <c r="B25" s="91" t="s">
        <v>230</v>
      </c>
      <c r="C25" s="92"/>
      <c r="D25" s="92"/>
      <c r="E25" s="116" t="s">
        <v>231</v>
      </c>
      <c r="F25" s="92" t="s">
        <v>227</v>
      </c>
      <c r="G25" s="62">
        <v>124.44</v>
      </c>
      <c r="H25" s="62"/>
      <c r="I25" s="62"/>
      <c r="J25" s="22" t="s">
        <v>265</v>
      </c>
      <c r="K25" s="22" t="s">
        <v>144</v>
      </c>
      <c r="L25" s="41">
        <f>VLOOKUP(K25,Reinigungstage!A10:I31,9,FALSE)</f>
        <v>1</v>
      </c>
      <c r="M25" s="41">
        <f t="shared" si="0"/>
        <v>124.44</v>
      </c>
      <c r="N25" s="93"/>
      <c r="O25" s="41"/>
      <c r="P25" s="41"/>
      <c r="Q25" s="41">
        <f t="shared" si="1"/>
        <v>0</v>
      </c>
      <c r="R25" s="41">
        <f t="shared" si="2"/>
        <v>0</v>
      </c>
      <c r="S25" s="4" t="str">
        <f t="shared" si="3"/>
        <v>Leistungswert eintragen</v>
      </c>
      <c r="U25" s="4">
        <f t="shared" si="4"/>
        <v>14</v>
      </c>
      <c r="V25" s="4">
        <f t="shared" si="5"/>
        <v>4.2</v>
      </c>
      <c r="W25" s="4">
        <f t="shared" si="6"/>
        <v>18.2</v>
      </c>
      <c r="X25" s="4" t="str">
        <f t="shared" si="7"/>
        <v/>
      </c>
    </row>
    <row r="26" spans="1:24" ht="15" customHeight="1" x14ac:dyDescent="0.2">
      <c r="A26" s="22">
        <v>5</v>
      </c>
      <c r="B26" s="91" t="s">
        <v>232</v>
      </c>
      <c r="C26" s="92"/>
      <c r="D26" s="92"/>
      <c r="E26" s="92" t="s">
        <v>233</v>
      </c>
      <c r="F26" s="92" t="s">
        <v>227</v>
      </c>
      <c r="G26" s="62">
        <v>17.54</v>
      </c>
      <c r="H26" s="62"/>
      <c r="I26" s="62"/>
      <c r="J26" s="22" t="s">
        <v>266</v>
      </c>
      <c r="K26" s="22" t="s">
        <v>144</v>
      </c>
      <c r="L26" s="41">
        <f>VLOOKUP(K26,Reinigungstage!A10:I31,9,FALSE)</f>
        <v>1</v>
      </c>
      <c r="M26" s="41">
        <f t="shared" si="0"/>
        <v>17.54</v>
      </c>
      <c r="N26" s="93"/>
      <c r="O26" s="41"/>
      <c r="P26" s="41"/>
      <c r="Q26" s="41">
        <f t="shared" si="1"/>
        <v>0</v>
      </c>
      <c r="R26" s="41">
        <f t="shared" si="2"/>
        <v>0</v>
      </c>
      <c r="S26" s="4" t="str">
        <f t="shared" si="3"/>
        <v>Leistungswert eintragen</v>
      </c>
      <c r="U26" s="4">
        <f t="shared" si="4"/>
        <v>15</v>
      </c>
      <c r="V26" s="4">
        <f t="shared" si="5"/>
        <v>4.5</v>
      </c>
      <c r="W26" s="4">
        <f t="shared" si="6"/>
        <v>19.5</v>
      </c>
      <c r="X26" s="4" t="str">
        <f t="shared" si="7"/>
        <v/>
      </c>
    </row>
    <row r="27" spans="1:24" ht="15" customHeight="1" x14ac:dyDescent="0.2">
      <c r="A27" s="22">
        <v>6</v>
      </c>
      <c r="B27" s="91" t="s">
        <v>234</v>
      </c>
      <c r="C27" s="92"/>
      <c r="D27" s="92"/>
      <c r="E27" s="92" t="s">
        <v>235</v>
      </c>
      <c r="F27" s="92" t="s">
        <v>224</v>
      </c>
      <c r="G27" s="62">
        <v>9.3800000000000008</v>
      </c>
      <c r="H27" s="62"/>
      <c r="I27" s="62"/>
      <c r="J27" s="22" t="s">
        <v>267</v>
      </c>
      <c r="K27" s="22" t="s">
        <v>144</v>
      </c>
      <c r="L27" s="41">
        <f>VLOOKUP(K27,Reinigungstage!A10:I31,9,FALSE)</f>
        <v>1</v>
      </c>
      <c r="M27" s="41">
        <f t="shared" si="0"/>
        <v>9.3800000000000008</v>
      </c>
      <c r="N27" s="93"/>
      <c r="O27" s="41"/>
      <c r="P27" s="41"/>
      <c r="Q27" s="41">
        <f t="shared" si="1"/>
        <v>0</v>
      </c>
      <c r="R27" s="41">
        <f t="shared" si="2"/>
        <v>0</v>
      </c>
      <c r="S27" s="4" t="str">
        <f t="shared" si="3"/>
        <v>Leistungswert eintragen</v>
      </c>
      <c r="U27" s="4">
        <f t="shared" si="4"/>
        <v>7</v>
      </c>
      <c r="V27" s="4">
        <f t="shared" si="5"/>
        <v>2.1</v>
      </c>
      <c r="W27" s="4">
        <f t="shared" si="6"/>
        <v>9.1</v>
      </c>
      <c r="X27" s="4" t="str">
        <f t="shared" si="7"/>
        <v/>
      </c>
    </row>
    <row r="28" spans="1:24" ht="15" customHeight="1" x14ac:dyDescent="0.2">
      <c r="A28" s="22">
        <v>7</v>
      </c>
      <c r="B28" s="91" t="s">
        <v>236</v>
      </c>
      <c r="C28" s="92"/>
      <c r="D28" s="92"/>
      <c r="E28" s="92" t="s">
        <v>237</v>
      </c>
      <c r="F28" s="92" t="s">
        <v>224</v>
      </c>
      <c r="G28" s="62">
        <v>9.3800000000000008</v>
      </c>
      <c r="H28" s="62"/>
      <c r="I28" s="62"/>
      <c r="J28" s="22" t="s">
        <v>267</v>
      </c>
      <c r="K28" s="22" t="s">
        <v>144</v>
      </c>
      <c r="L28" s="41">
        <f>VLOOKUP(K28,Reinigungstage!A10:I31,9,FALSE)</f>
        <v>1</v>
      </c>
      <c r="M28" s="41">
        <f t="shared" si="0"/>
        <v>9.3800000000000008</v>
      </c>
      <c r="N28" s="93"/>
      <c r="O28" s="41"/>
      <c r="P28" s="41"/>
      <c r="Q28" s="41">
        <f t="shared" si="1"/>
        <v>0</v>
      </c>
      <c r="R28" s="41">
        <f t="shared" si="2"/>
        <v>0</v>
      </c>
      <c r="S28" s="4" t="str">
        <f t="shared" si="3"/>
        <v>Leistungswert eintragen</v>
      </c>
      <c r="U28" s="4">
        <f t="shared" si="4"/>
        <v>7</v>
      </c>
      <c r="V28" s="4">
        <f t="shared" si="5"/>
        <v>2.1</v>
      </c>
      <c r="W28" s="4">
        <f t="shared" si="6"/>
        <v>9.1</v>
      </c>
      <c r="X28" s="4" t="str">
        <f t="shared" si="7"/>
        <v/>
      </c>
    </row>
    <row r="29" spans="1:24" ht="15" customHeight="1" x14ac:dyDescent="0.2">
      <c r="A29" s="22">
        <v>8</v>
      </c>
      <c r="B29" s="91" t="s">
        <v>238</v>
      </c>
      <c r="C29" s="92"/>
      <c r="D29" s="92"/>
      <c r="E29" s="92" t="s">
        <v>239</v>
      </c>
      <c r="F29" s="92" t="s">
        <v>224</v>
      </c>
      <c r="G29" s="62">
        <v>5.85</v>
      </c>
      <c r="H29" s="62"/>
      <c r="I29" s="62"/>
      <c r="J29" s="22" t="s">
        <v>267</v>
      </c>
      <c r="K29" s="22" t="s">
        <v>144</v>
      </c>
      <c r="L29" s="41">
        <f>VLOOKUP(K29,Reinigungstage!A10:I31,9,FALSE)</f>
        <v>1</v>
      </c>
      <c r="M29" s="41">
        <f t="shared" si="0"/>
        <v>5.85</v>
      </c>
      <c r="N29" s="93"/>
      <c r="O29" s="41"/>
      <c r="P29" s="41"/>
      <c r="Q29" s="41">
        <f t="shared" si="1"/>
        <v>0</v>
      </c>
      <c r="R29" s="41">
        <f t="shared" si="2"/>
        <v>0</v>
      </c>
      <c r="S29" s="4" t="str">
        <f t="shared" si="3"/>
        <v>Leistungswert eintragen</v>
      </c>
      <c r="U29" s="4">
        <f t="shared" si="4"/>
        <v>7</v>
      </c>
      <c r="V29" s="4">
        <f t="shared" si="5"/>
        <v>2.1</v>
      </c>
      <c r="W29" s="4">
        <f t="shared" si="6"/>
        <v>9.1</v>
      </c>
      <c r="X29" s="4" t="str">
        <f t="shared" si="7"/>
        <v/>
      </c>
    </row>
    <row r="30" spans="1:24" ht="24.95" customHeight="1" x14ac:dyDescent="0.2">
      <c r="A30" s="22">
        <v>9</v>
      </c>
      <c r="B30" s="91" t="s">
        <v>243</v>
      </c>
      <c r="C30" s="92"/>
      <c r="D30" s="92"/>
      <c r="E30" s="92" t="s">
        <v>244</v>
      </c>
      <c r="F30" s="92" t="s">
        <v>224</v>
      </c>
      <c r="G30" s="62">
        <v>104.26</v>
      </c>
      <c r="H30" s="62"/>
      <c r="I30" s="62"/>
      <c r="J30" s="22" t="s">
        <v>265</v>
      </c>
      <c r="K30" s="22" t="s">
        <v>144</v>
      </c>
      <c r="L30" s="41">
        <f>VLOOKUP(K30,Reinigungstage!A10:I31,9,FALSE)</f>
        <v>1</v>
      </c>
      <c r="M30" s="41">
        <f t="shared" si="0"/>
        <v>104.26</v>
      </c>
      <c r="N30" s="93"/>
      <c r="O30" s="41"/>
      <c r="P30" s="41"/>
      <c r="Q30" s="41">
        <f t="shared" si="1"/>
        <v>0</v>
      </c>
      <c r="R30" s="41">
        <f t="shared" si="2"/>
        <v>0</v>
      </c>
      <c r="S30" s="4" t="str">
        <f t="shared" si="3"/>
        <v>Leistungswert eintragen</v>
      </c>
      <c r="U30" s="4">
        <f t="shared" si="4"/>
        <v>14</v>
      </c>
      <c r="V30" s="4">
        <f t="shared" si="5"/>
        <v>4.2</v>
      </c>
      <c r="W30" s="4">
        <f t="shared" si="6"/>
        <v>18.2</v>
      </c>
      <c r="X30" s="4" t="str">
        <f t="shared" si="7"/>
        <v/>
      </c>
    </row>
    <row r="31" spans="1:24" ht="24.95" customHeight="1" x14ac:dyDescent="0.2">
      <c r="A31" s="22">
        <v>10</v>
      </c>
      <c r="B31" s="91" t="s">
        <v>247</v>
      </c>
      <c r="C31" s="92"/>
      <c r="D31" s="92" t="s">
        <v>248</v>
      </c>
      <c r="E31" s="92" t="s">
        <v>249</v>
      </c>
      <c r="F31" s="92" t="s">
        <v>224</v>
      </c>
      <c r="G31" s="62">
        <v>12.45</v>
      </c>
      <c r="H31" s="62"/>
      <c r="I31" s="62"/>
      <c r="J31" s="22" t="s">
        <v>264</v>
      </c>
      <c r="K31" s="22" t="s">
        <v>144</v>
      </c>
      <c r="L31" s="41">
        <f>VLOOKUP(K31,Reinigungstage!A10:I31,9,FALSE)</f>
        <v>1</v>
      </c>
      <c r="M31" s="41">
        <f t="shared" si="0"/>
        <v>12.45</v>
      </c>
      <c r="N31" s="93"/>
      <c r="O31" s="41"/>
      <c r="P31" s="41"/>
      <c r="Q31" s="41">
        <f t="shared" si="1"/>
        <v>0</v>
      </c>
      <c r="R31" s="41">
        <f t="shared" si="2"/>
        <v>0</v>
      </c>
      <c r="S31" s="4" t="str">
        <f t="shared" si="3"/>
        <v>Leistungswert eintragen</v>
      </c>
      <c r="U31" s="4">
        <f t="shared" si="4"/>
        <v>24</v>
      </c>
      <c r="V31" s="4">
        <f t="shared" si="5"/>
        <v>7.1999999999999993</v>
      </c>
      <c r="W31" s="4">
        <f t="shared" si="6"/>
        <v>31.2</v>
      </c>
      <c r="X31" s="4" t="str">
        <f t="shared" si="7"/>
        <v/>
      </c>
    </row>
    <row r="32" spans="1:24" ht="24.95" customHeight="1" x14ac:dyDescent="0.2">
      <c r="A32" s="22">
        <v>11</v>
      </c>
      <c r="B32" s="91" t="s">
        <v>250</v>
      </c>
      <c r="C32" s="92"/>
      <c r="D32" s="92" t="s">
        <v>248</v>
      </c>
      <c r="E32" s="92" t="s">
        <v>251</v>
      </c>
      <c r="F32" s="92" t="s">
        <v>227</v>
      </c>
      <c r="G32" s="62">
        <v>59.32</v>
      </c>
      <c r="H32" s="62"/>
      <c r="I32" s="62"/>
      <c r="J32" s="22" t="s">
        <v>264</v>
      </c>
      <c r="K32" s="22" t="s">
        <v>144</v>
      </c>
      <c r="L32" s="41">
        <f>VLOOKUP(K32,Reinigungstage!A10:I31,9,FALSE)</f>
        <v>1</v>
      </c>
      <c r="M32" s="41">
        <f t="shared" si="0"/>
        <v>59.32</v>
      </c>
      <c r="N32" s="93"/>
      <c r="O32" s="41"/>
      <c r="P32" s="41"/>
      <c r="Q32" s="41">
        <f t="shared" si="1"/>
        <v>0</v>
      </c>
      <c r="R32" s="41">
        <f t="shared" si="2"/>
        <v>0</v>
      </c>
      <c r="S32" s="4" t="str">
        <f t="shared" si="3"/>
        <v>Leistungswert eintragen</v>
      </c>
      <c r="U32" s="4">
        <f t="shared" si="4"/>
        <v>24</v>
      </c>
      <c r="V32" s="4">
        <f t="shared" si="5"/>
        <v>7.1999999999999993</v>
      </c>
      <c r="W32" s="4">
        <f t="shared" si="6"/>
        <v>31.2</v>
      </c>
      <c r="X32" s="4" t="str">
        <f t="shared" si="7"/>
        <v/>
      </c>
    </row>
    <row r="33" spans="1:24" ht="24.95" customHeight="1" x14ac:dyDescent="0.2">
      <c r="A33" s="22">
        <v>12</v>
      </c>
      <c r="B33" s="91" t="s">
        <v>252</v>
      </c>
      <c r="C33" s="92"/>
      <c r="D33" s="92" t="s">
        <v>248</v>
      </c>
      <c r="E33" s="92" t="s">
        <v>253</v>
      </c>
      <c r="F33" s="92" t="s">
        <v>254</v>
      </c>
      <c r="G33" s="62">
        <v>68.59</v>
      </c>
      <c r="H33" s="62"/>
      <c r="I33" s="62"/>
      <c r="J33" s="22" t="s">
        <v>265</v>
      </c>
      <c r="K33" s="22" t="s">
        <v>144</v>
      </c>
      <c r="L33" s="41">
        <f>VLOOKUP(K33,Reinigungstage!A10:I31,9,FALSE)</f>
        <v>1</v>
      </c>
      <c r="M33" s="41">
        <f t="shared" si="0"/>
        <v>68.59</v>
      </c>
      <c r="N33" s="93"/>
      <c r="O33" s="41"/>
      <c r="P33" s="41"/>
      <c r="Q33" s="41">
        <f t="shared" si="1"/>
        <v>0</v>
      </c>
      <c r="R33" s="41">
        <f t="shared" si="2"/>
        <v>0</v>
      </c>
      <c r="S33" s="4" t="str">
        <f t="shared" si="3"/>
        <v>Leistungswert eintragen</v>
      </c>
      <c r="U33" s="4">
        <f t="shared" si="4"/>
        <v>14</v>
      </c>
      <c r="V33" s="4">
        <f t="shared" si="5"/>
        <v>4.2</v>
      </c>
      <c r="W33" s="4">
        <f t="shared" si="6"/>
        <v>18.2</v>
      </c>
      <c r="X33" s="4" t="str">
        <f t="shared" si="7"/>
        <v/>
      </c>
    </row>
    <row r="34" spans="1:24" ht="24.95" customHeight="1" x14ac:dyDescent="0.2">
      <c r="A34" s="22">
        <v>13</v>
      </c>
      <c r="B34" s="91" t="s">
        <v>257</v>
      </c>
      <c r="C34" s="92"/>
      <c r="D34" s="92" t="s">
        <v>248</v>
      </c>
      <c r="E34" s="92" t="s">
        <v>237</v>
      </c>
      <c r="F34" s="92" t="s">
        <v>224</v>
      </c>
      <c r="G34" s="62">
        <v>18.489999999999998</v>
      </c>
      <c r="H34" s="62"/>
      <c r="I34" s="62"/>
      <c r="J34" s="22" t="s">
        <v>267</v>
      </c>
      <c r="K34" s="22" t="s">
        <v>144</v>
      </c>
      <c r="L34" s="41">
        <f>VLOOKUP(K34,Reinigungstage!A10:I31,9,FALSE)</f>
        <v>1</v>
      </c>
      <c r="M34" s="41">
        <f t="shared" si="0"/>
        <v>18.489999999999998</v>
      </c>
      <c r="N34" s="93"/>
      <c r="O34" s="41"/>
      <c r="P34" s="41"/>
      <c r="Q34" s="41">
        <f t="shared" si="1"/>
        <v>0</v>
      </c>
      <c r="R34" s="41">
        <f t="shared" si="2"/>
        <v>0</v>
      </c>
      <c r="S34" s="4" t="str">
        <f t="shared" si="3"/>
        <v>Leistungswert eintragen</v>
      </c>
      <c r="U34" s="4">
        <f t="shared" si="4"/>
        <v>7</v>
      </c>
      <c r="V34" s="4">
        <f t="shared" si="5"/>
        <v>2.1</v>
      </c>
      <c r="W34" s="4">
        <f t="shared" si="6"/>
        <v>9.1</v>
      </c>
      <c r="X34" s="4" t="str">
        <f t="shared" si="7"/>
        <v/>
      </c>
    </row>
    <row r="35" spans="1:24" ht="24.95" customHeight="1" x14ac:dyDescent="0.2">
      <c r="A35" s="22">
        <v>14</v>
      </c>
      <c r="B35" s="91" t="s">
        <v>261</v>
      </c>
      <c r="C35" s="92"/>
      <c r="D35" s="92" t="s">
        <v>248</v>
      </c>
      <c r="E35" s="92" t="s">
        <v>235</v>
      </c>
      <c r="F35" s="92" t="s">
        <v>224</v>
      </c>
      <c r="G35" s="62">
        <v>16.87</v>
      </c>
      <c r="H35" s="62"/>
      <c r="I35" s="62"/>
      <c r="J35" s="22" t="s">
        <v>267</v>
      </c>
      <c r="K35" s="22" t="s">
        <v>144</v>
      </c>
      <c r="L35" s="41">
        <f>VLOOKUP(K35,Reinigungstage!A10:I31,9,FALSE)</f>
        <v>1</v>
      </c>
      <c r="M35" s="41">
        <f t="shared" si="0"/>
        <v>16.87</v>
      </c>
      <c r="N35" s="93"/>
      <c r="O35" s="41"/>
      <c r="P35" s="41"/>
      <c r="Q35" s="41">
        <f t="shared" si="1"/>
        <v>0</v>
      </c>
      <c r="R35" s="41">
        <f t="shared" si="2"/>
        <v>0</v>
      </c>
      <c r="S35" s="4" t="str">
        <f t="shared" si="3"/>
        <v>Leistungswert eintragen</v>
      </c>
      <c r="U35" s="4">
        <f t="shared" si="4"/>
        <v>7</v>
      </c>
      <c r="V35" s="4">
        <f t="shared" si="5"/>
        <v>2.1</v>
      </c>
      <c r="W35" s="4">
        <f t="shared" si="6"/>
        <v>9.1</v>
      </c>
      <c r="X35" s="4" t="str">
        <f t="shared" si="7"/>
        <v/>
      </c>
    </row>
    <row r="36" spans="1:24" ht="24.95" customHeight="1" x14ac:dyDescent="0.2">
      <c r="A36" s="22">
        <v>15</v>
      </c>
      <c r="B36" s="91" t="s">
        <v>262</v>
      </c>
      <c r="C36" s="92"/>
      <c r="D36" s="92" t="s">
        <v>248</v>
      </c>
      <c r="E36" s="92" t="s">
        <v>239</v>
      </c>
      <c r="F36" s="92" t="s">
        <v>224</v>
      </c>
      <c r="G36" s="62">
        <v>5.79</v>
      </c>
      <c r="H36" s="62"/>
      <c r="I36" s="62"/>
      <c r="J36" s="22" t="s">
        <v>267</v>
      </c>
      <c r="K36" s="22" t="s">
        <v>144</v>
      </c>
      <c r="L36" s="41">
        <f>VLOOKUP(K36,Reinigungstage!A10:I31,9,FALSE)</f>
        <v>1</v>
      </c>
      <c r="M36" s="41">
        <f t="shared" si="0"/>
        <v>5.79</v>
      </c>
      <c r="N36" s="93"/>
      <c r="O36" s="41"/>
      <c r="P36" s="41"/>
      <c r="Q36" s="41">
        <f t="shared" si="1"/>
        <v>0</v>
      </c>
      <c r="R36" s="41">
        <f t="shared" si="2"/>
        <v>0</v>
      </c>
      <c r="S36" s="4" t="str">
        <f t="shared" si="3"/>
        <v>Leistungswert eintragen</v>
      </c>
      <c r="U36" s="4">
        <f t="shared" si="4"/>
        <v>7</v>
      </c>
      <c r="V36" s="4">
        <f t="shared" si="5"/>
        <v>2.1</v>
      </c>
      <c r="W36" s="4">
        <f t="shared" si="6"/>
        <v>9.1</v>
      </c>
      <c r="X36" s="4" t="str">
        <f t="shared" si="7"/>
        <v/>
      </c>
    </row>
    <row r="37" spans="1:24" ht="24.95" customHeight="1" x14ac:dyDescent="0.2">
      <c r="A37" s="22">
        <v>16</v>
      </c>
      <c r="B37" s="91"/>
      <c r="C37" s="92"/>
      <c r="D37" s="92"/>
      <c r="E37" s="92" t="s">
        <v>263</v>
      </c>
      <c r="F37" s="92" t="s">
        <v>578</v>
      </c>
      <c r="G37" s="62">
        <v>18.670000000000002</v>
      </c>
      <c r="H37" s="62"/>
      <c r="I37" s="62"/>
      <c r="J37" s="22" t="s">
        <v>270</v>
      </c>
      <c r="K37" s="22" t="s">
        <v>144</v>
      </c>
      <c r="L37" s="41">
        <f>VLOOKUP(K37,Reinigungstage!A10:I31,9,FALSE)</f>
        <v>1</v>
      </c>
      <c r="M37" s="41">
        <f t="shared" si="0"/>
        <v>18.670000000000002</v>
      </c>
      <c r="N37" s="93"/>
      <c r="O37" s="41"/>
      <c r="P37" s="41"/>
      <c r="Q37" s="41">
        <f t="shared" si="1"/>
        <v>0</v>
      </c>
      <c r="R37" s="41">
        <f t="shared" si="2"/>
        <v>0</v>
      </c>
      <c r="S37" s="4" t="str">
        <f t="shared" si="3"/>
        <v>Leistungswert eintragen</v>
      </c>
      <c r="U37" s="4">
        <f t="shared" si="4"/>
        <v>14</v>
      </c>
      <c r="V37" s="4">
        <f t="shared" si="5"/>
        <v>4.2</v>
      </c>
      <c r="W37" s="4">
        <f t="shared" si="6"/>
        <v>18.2</v>
      </c>
      <c r="X37" s="4" t="str">
        <f t="shared" si="7"/>
        <v/>
      </c>
    </row>
  </sheetData>
  <sortState xmlns:xlrd2="http://schemas.microsoft.com/office/spreadsheetml/2017/richdata2" ref="U4:U10">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68"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67" priority="5" operator="containsText" text="Bitte prüfen Sie diese.">
      <formula>NOT(ISERROR(SEARCH("Bitte prüfen Sie diese.",L9)))</formula>
    </cfRule>
  </conditionalFormatting>
  <conditionalFormatting sqref="L10">
    <cfRule type="containsText" dxfId="66"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65" priority="3" operator="containsText" text="lediglich Fehleingaben vermeiden wollen.">
      <formula>NOT(ISERROR(SEARCH("lediglich Fehleingaben vermeiden wollen.",L11)))</formula>
    </cfRule>
  </conditionalFormatting>
  <conditionalFormatting sqref="M11">
    <cfRule type="containsText" dxfId="64"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63" priority="2" stopIfTrue="1">
      <formula>N13=0</formula>
    </cfRule>
  </conditionalFormatting>
  <conditionalFormatting sqref="N14">
    <cfRule type="expression" dxfId="62" priority="1">
      <formula>N14=0</formula>
    </cfRule>
  </conditionalFormatting>
  <conditionalFormatting sqref="O13">
    <cfRule type="containsText" dxfId="61"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60" priority="8" operator="containsText" text="Wert(e) prüfen.">
      <formula>NOT(ISERROR(SEARCH("Wert(e) prüfen.",O14)))</formula>
    </cfRule>
  </conditionalFormatting>
  <conditionalFormatting sqref="S22:S37">
    <cfRule type="containsText" dxfId="59" priority="12" stopIfTrue="1" operator="containsText" text="SVS prüfen">
      <formula>NOT(ISERROR(SEARCH("SVS prüfen",S22)))</formula>
    </cfRule>
    <cfRule type="containsText" dxfId="58" priority="13" stopIfTrue="1" operator="containsText" text="Leistungswert eintragen">
      <formula>NOT(ISERROR(SEARCH("Leistungswert eintragen",S22)))</formula>
    </cfRule>
  </conditionalFormatting>
  <hyperlinks>
    <hyperlink ref="M1" location="Inhaltsverzeichnis!A1" display="Zurück zum Inhaltsverzeichnis" xr:uid="{00000000-0004-0000-05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PvH AL1&amp;LAmt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96258"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96259"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96260"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66"/>
  </sheetPr>
  <dimension ref="A1:U152"/>
  <sheetViews>
    <sheetView showGridLines="0" zoomScaleNormal="100" workbookViewId="0">
      <pane ySplit="21" topLeftCell="A33" activePane="bottomLeft" state="frozen"/>
      <selection pane="bottomLeft" activeCell="A40" sqref="A40:XFD40"/>
    </sheetView>
  </sheetViews>
  <sheetFormatPr baseColWidth="10" defaultColWidth="0" defaultRowHeight="15" customHeight="1" x14ac:dyDescent="0.2"/>
  <cols>
    <col min="1" max="1" width="11.7109375" style="4" customWidth="1"/>
    <col min="2" max="2" width="11" style="4" customWidth="1"/>
    <col min="3" max="3" width="6.42578125" style="4" customWidth="1"/>
    <col min="4" max="4" width="9"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2.140625" style="4" customWidth="1"/>
    <col min="14" max="14" width="9.42578125" style="4" customWidth="1"/>
    <col min="15" max="15" width="8.42578125" style="4" customWidth="1"/>
    <col min="16" max="17" width="11.42578125" style="4" customWidth="1"/>
    <col min="18" max="19" width="11.28515625" style="4" customWidth="1"/>
    <col min="20" max="20" width="22.28515625" style="4" customWidth="1"/>
    <col min="21" max="21" width="0" style="4" hidden="1" customWidth="1"/>
    <col min="22" max="16384" width="11.42578125" style="4" hidden="1"/>
  </cols>
  <sheetData>
    <row r="1" spans="1:21" ht="15" customHeight="1" x14ac:dyDescent="0.2">
      <c r="M1" s="6" t="s">
        <v>100</v>
      </c>
    </row>
    <row r="2" spans="1:21" ht="21" customHeight="1" x14ac:dyDescent="0.2">
      <c r="A2" s="174" t="s">
        <v>158</v>
      </c>
      <c r="B2" s="175"/>
      <c r="C2" s="175"/>
      <c r="D2" s="175" t="b">
        <v>0</v>
      </c>
      <c r="E2" s="176"/>
      <c r="G2" s="177" t="s">
        <v>171</v>
      </c>
      <c r="H2" s="177" t="s">
        <v>163</v>
      </c>
      <c r="I2" s="177" t="s">
        <v>164</v>
      </c>
      <c r="J2" s="177" t="s">
        <v>183</v>
      </c>
      <c r="M2" s="42"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1" ht="21" customHeight="1" x14ac:dyDescent="0.2">
      <c r="A3" s="81" t="s">
        <v>159</v>
      </c>
      <c r="B3" s="82"/>
      <c r="C3" s="82"/>
      <c r="D3" s="82"/>
      <c r="E3" s="83"/>
      <c r="G3" s="178"/>
      <c r="H3" s="178" t="b">
        <v>0</v>
      </c>
      <c r="I3" s="178"/>
      <c r="J3" s="178"/>
      <c r="M3" s="42" t="b">
        <v>0</v>
      </c>
      <c r="N3" s="150"/>
      <c r="O3" s="150"/>
      <c r="P3" s="150"/>
      <c r="Q3" s="150"/>
    </row>
    <row r="4" spans="1:21" ht="15" customHeight="1" x14ac:dyDescent="0.2">
      <c r="A4" s="172" t="s">
        <v>91</v>
      </c>
      <c r="B4" s="182"/>
      <c r="C4" s="183"/>
      <c r="D4" s="183"/>
      <c r="E4" s="184"/>
      <c r="G4" s="22" t="s">
        <v>273</v>
      </c>
      <c r="H4" s="84"/>
      <c r="I4" s="85">
        <f ca="1">SUMIF('Kal Unter PvH grSchulgeb'!J22:M152,$G$4,'Kal Unter PvH grSchulgeb'!M22:M152)</f>
        <v>28613.79</v>
      </c>
      <c r="J4" s="60">
        <f>COUNTIFS('Kal Unter PvH grSchulgeb'!J22:M152,$G$4)</f>
        <v>10</v>
      </c>
      <c r="M4" s="42" t="b">
        <v>0</v>
      </c>
      <c r="N4" s="150"/>
      <c r="O4" s="150"/>
      <c r="P4" s="150"/>
      <c r="Q4" s="150"/>
      <c r="U4" s="22" t="s">
        <v>273</v>
      </c>
    </row>
    <row r="5" spans="1:21" ht="15" customHeight="1" x14ac:dyDescent="0.2">
      <c r="A5" s="173"/>
      <c r="B5" s="185"/>
      <c r="C5" s="186"/>
      <c r="D5" s="186"/>
      <c r="E5" s="187"/>
      <c r="G5" s="22" t="s">
        <v>266</v>
      </c>
      <c r="H5" s="84"/>
      <c r="I5" s="85">
        <f ca="1">SUMIF('Kal Unter PvH grSchulgeb'!J22:M152,$G$5,'Kal Unter PvH grSchulgeb'!M22:M152)</f>
        <v>16440.05</v>
      </c>
      <c r="J5" s="60">
        <f>COUNTIFS('Kal Unter PvH grSchulgeb'!J22:M152,$G$5)</f>
        <v>11</v>
      </c>
      <c r="M5" s="42" t="b">
        <v>0</v>
      </c>
      <c r="N5" s="150"/>
      <c r="O5" s="150"/>
      <c r="P5" s="150"/>
      <c r="Q5" s="150"/>
      <c r="U5" s="22" t="s">
        <v>266</v>
      </c>
    </row>
    <row r="6" spans="1:21" ht="15" customHeight="1" x14ac:dyDescent="0.2">
      <c r="A6" s="143" t="s">
        <v>181</v>
      </c>
      <c r="B6" s="188" t="s">
        <v>204</v>
      </c>
      <c r="C6" s="189"/>
      <c r="D6" s="189"/>
      <c r="E6" s="190"/>
      <c r="G6" s="22" t="s">
        <v>272</v>
      </c>
      <c r="H6" s="84"/>
      <c r="I6" s="85">
        <f ca="1">SUMIF('Kal Unter PvH grSchulgeb'!J22:M152,$G$6,'Kal Unter PvH grSchulgeb'!M22:M152)</f>
        <v>0</v>
      </c>
      <c r="J6" s="60">
        <f>COUNTIFS('Kal Unter PvH grSchulgeb'!J22:M152,$G$6)</f>
        <v>0</v>
      </c>
      <c r="U6" s="22" t="s">
        <v>272</v>
      </c>
    </row>
    <row r="7" spans="1:21" ht="15" customHeight="1" x14ac:dyDescent="0.2">
      <c r="A7" s="87" t="s">
        <v>179</v>
      </c>
      <c r="B7" s="191" t="s">
        <v>205</v>
      </c>
      <c r="C7" s="192"/>
      <c r="D7" s="192"/>
      <c r="E7" s="193"/>
      <c r="G7" s="22" t="s">
        <v>267</v>
      </c>
      <c r="H7" s="84"/>
      <c r="I7" s="85">
        <f ca="1">SUMIF('Kal Unter PvH grSchulgeb'!J22:M152,$G$7,'Kal Unter PvH grSchulgeb'!M22:M152)</f>
        <v>40991.64</v>
      </c>
      <c r="J7" s="60">
        <f>COUNTIFS('Kal Unter PvH grSchulgeb'!J22:M152,$G$7)</f>
        <v>14</v>
      </c>
      <c r="U7" s="22" t="s">
        <v>267</v>
      </c>
    </row>
    <row r="8" spans="1:21" ht="15" customHeight="1" x14ac:dyDescent="0.2">
      <c r="A8" s="87" t="s">
        <v>180</v>
      </c>
      <c r="B8" s="194" t="s">
        <v>212</v>
      </c>
      <c r="C8" s="192"/>
      <c r="D8" s="192"/>
      <c r="E8" s="193"/>
      <c r="G8" s="22" t="s">
        <v>268</v>
      </c>
      <c r="H8" s="84"/>
      <c r="I8" s="85">
        <f ca="1">SUMIF('Kal Unter PvH grSchulgeb'!J22:M152,$G$8,'Kal Unter PvH grSchulgeb'!M22:M152)</f>
        <v>0</v>
      </c>
      <c r="J8" s="60">
        <f>COUNTIFS('Kal Unter PvH grSchulgeb'!J22:M152,$G$8)</f>
        <v>5</v>
      </c>
      <c r="U8" s="22" t="s">
        <v>268</v>
      </c>
    </row>
    <row r="9" spans="1:21" ht="15" customHeight="1" x14ac:dyDescent="0.2">
      <c r="A9" s="86" t="s">
        <v>178</v>
      </c>
      <c r="B9" s="195" t="s">
        <v>211</v>
      </c>
      <c r="C9" s="192"/>
      <c r="D9" s="192"/>
      <c r="E9" s="193"/>
      <c r="G9" s="22" t="s">
        <v>270</v>
      </c>
      <c r="H9" s="84"/>
      <c r="I9" s="85">
        <f ca="1">SUMIF('Kal Unter PvH grSchulgeb'!J22:M152,$G$9,'Kal Unter PvH grSchulgeb'!M22:M152)</f>
        <v>77060.509999999995</v>
      </c>
      <c r="J9" s="60">
        <f>COUNTIFS('Kal Unter PvH grSchulgeb'!J22:M152,$G$9)</f>
        <v>9</v>
      </c>
      <c r="U9" s="22" t="s">
        <v>270</v>
      </c>
    </row>
    <row r="10" spans="1:21" ht="15" customHeight="1" x14ac:dyDescent="0.2">
      <c r="A10" s="87" t="s">
        <v>160</v>
      </c>
      <c r="B10" s="194" t="s">
        <v>207</v>
      </c>
      <c r="C10" s="192"/>
      <c r="D10" s="192"/>
      <c r="E10" s="193"/>
      <c r="G10" s="22" t="s">
        <v>265</v>
      </c>
      <c r="H10" s="84"/>
      <c r="I10" s="85">
        <f ca="1">SUMIF('Kal Unter PvH grSchulgeb'!J22:M152,$G$10,'Kal Unter PvH grSchulgeb'!M22:M152)</f>
        <v>607695.86</v>
      </c>
      <c r="J10" s="60">
        <f>COUNTIFS('Kal Unter PvH grSchulgeb'!J22:M152,$G$10)</f>
        <v>57</v>
      </c>
      <c r="U10" s="22" t="s">
        <v>265</v>
      </c>
    </row>
    <row r="11" spans="1:21" ht="15" customHeight="1" x14ac:dyDescent="0.2">
      <c r="A11" s="87" t="s">
        <v>161</v>
      </c>
      <c r="B11" s="196" t="s">
        <v>208</v>
      </c>
      <c r="C11" s="192"/>
      <c r="D11" s="192"/>
      <c r="E11" s="193"/>
      <c r="G11" s="22" t="s">
        <v>264</v>
      </c>
      <c r="H11" s="84"/>
      <c r="I11" s="85">
        <f ca="1">SUMIF('Kal Unter PvH grSchulgeb'!J22:M152,$G$11,'Kal Unter PvH grSchulgeb'!M22:M152)</f>
        <v>411402.82000000007</v>
      </c>
      <c r="J11" s="60">
        <f>COUNTIFS('Kal Unter PvH grSchulgeb'!J22:M152,$G$11)</f>
        <v>22</v>
      </c>
      <c r="U11" s="22" t="s">
        <v>264</v>
      </c>
    </row>
    <row r="12" spans="1:21" ht="15" customHeight="1" x14ac:dyDescent="0.2">
      <c r="A12" s="87" t="s">
        <v>162</v>
      </c>
      <c r="B12" s="194" t="s">
        <v>209</v>
      </c>
      <c r="C12" s="192"/>
      <c r="D12" s="192"/>
      <c r="E12" s="193"/>
      <c r="G12" s="22" t="s">
        <v>269</v>
      </c>
      <c r="H12" s="84"/>
      <c r="I12" s="85">
        <f ca="1">SUMIF('Kal Unter PvH grSchulgeb'!J22:M152,$G$12,'Kal Unter PvH grSchulgeb'!M22:M152)</f>
        <v>21377.279999999999</v>
      </c>
      <c r="J12" s="60">
        <f>COUNTIFS('Kal Unter PvH grSchulgeb'!J22:M152,$G$12)</f>
        <v>3</v>
      </c>
      <c r="U12" s="22" t="s">
        <v>269</v>
      </c>
    </row>
    <row r="13" spans="1:21"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1" ht="15" customHeight="1" x14ac:dyDescent="0.2">
      <c r="T14" s="19">
        <f>IF(COUNTA($T$22:$T$152)-COUNTBLANK($T$22:$T$152)=0,"",COUNTA($T$22:$T$152)-COUNTBLANK($T$22:$T$152))</f>
        <v>126</v>
      </c>
    </row>
    <row r="15" spans="1:21" ht="15" hidden="1" customHeight="1" x14ac:dyDescent="0.2"/>
    <row r="16" spans="1:21" ht="15" hidden="1" customHeight="1" x14ac:dyDescent="0.2"/>
    <row r="17" spans="1:21" ht="15" hidden="1" customHeight="1" x14ac:dyDescent="0.2"/>
    <row r="18" spans="1:21" ht="15" hidden="1" customHeight="1" x14ac:dyDescent="0.2"/>
    <row r="19" spans="1:21" ht="15" hidden="1" customHeight="1" x14ac:dyDescent="0.2"/>
    <row r="20" spans="1:21" ht="45" customHeight="1" x14ac:dyDescent="0.2">
      <c r="A20" s="2" t="s">
        <v>92</v>
      </c>
      <c r="B20" s="2" t="s">
        <v>97</v>
      </c>
      <c r="C20" s="2" t="s">
        <v>93</v>
      </c>
      <c r="D20" s="2" t="s">
        <v>94</v>
      </c>
      <c r="E20" s="2" t="s">
        <v>98</v>
      </c>
      <c r="F20" s="2" t="s">
        <v>95</v>
      </c>
      <c r="G20" s="2" t="s">
        <v>115</v>
      </c>
      <c r="H20" s="2" t="s">
        <v>106</v>
      </c>
      <c r="I20" s="2" t="s">
        <v>107</v>
      </c>
      <c r="J20" s="2" t="s">
        <v>99</v>
      </c>
      <c r="K20" s="2" t="s">
        <v>104</v>
      </c>
      <c r="L20" s="2" t="s">
        <v>135</v>
      </c>
      <c r="M20" s="2" t="s">
        <v>109</v>
      </c>
      <c r="N20" s="2" t="s">
        <v>105</v>
      </c>
      <c r="O20" s="2" t="s">
        <v>110</v>
      </c>
      <c r="P20" s="2" t="s">
        <v>111</v>
      </c>
      <c r="Q20" s="2" t="s">
        <v>112</v>
      </c>
      <c r="R20" s="2" t="s">
        <v>182</v>
      </c>
      <c r="S20" s="2" t="s">
        <v>134</v>
      </c>
    </row>
    <row r="21" spans="1:21" ht="29.1" customHeight="1" x14ac:dyDescent="0.2">
      <c r="A21" s="88" t="s">
        <v>119</v>
      </c>
      <c r="B21" s="13"/>
      <c r="C21" s="13"/>
      <c r="D21" s="13"/>
      <c r="E21" s="13"/>
      <c r="F21" s="13"/>
      <c r="G21" s="89">
        <f>SUM($G$22:$G$152)</f>
        <v>6936.7000000000053</v>
      </c>
      <c r="H21" s="89">
        <f>SUM($H$22:$H$152)</f>
        <v>0</v>
      </c>
      <c r="I21" s="89">
        <f>SUM($I$22:$I$152)</f>
        <v>0</v>
      </c>
      <c r="J21" s="41"/>
      <c r="K21" s="41"/>
      <c r="L21" s="90">
        <f>MAX(L22:L152)</f>
        <v>186.75</v>
      </c>
      <c r="M21" s="89">
        <f>SUM($M$22:$M$152)</f>
        <v>1203581.9500000002</v>
      </c>
      <c r="N21" s="41"/>
      <c r="O21" s="41"/>
      <c r="P21" s="89">
        <f>SUM($P$22:$P$152)</f>
        <v>0</v>
      </c>
      <c r="Q21" s="89">
        <f>SUM($Q$22:$Q$152)</f>
        <v>0</v>
      </c>
      <c r="R21" s="89">
        <f>ROUND(IF(L21=0,0,P21/L21),2)</f>
        <v>0</v>
      </c>
      <c r="S21" s="89">
        <f>ROUND(IF(L21=0,0,Q21/L21),2)</f>
        <v>0</v>
      </c>
    </row>
    <row r="22" spans="1:21" ht="15" customHeight="1" x14ac:dyDescent="0.2">
      <c r="A22" s="22">
        <v>1</v>
      </c>
      <c r="B22" s="91" t="s">
        <v>274</v>
      </c>
      <c r="C22" s="92" t="s">
        <v>271</v>
      </c>
      <c r="D22" s="92" t="s">
        <v>275</v>
      </c>
      <c r="E22" s="92" t="s">
        <v>276</v>
      </c>
      <c r="F22" s="92" t="s">
        <v>277</v>
      </c>
      <c r="G22" s="62">
        <v>78.56</v>
      </c>
      <c r="H22" s="62"/>
      <c r="I22" s="62"/>
      <c r="J22" s="22" t="s">
        <v>273</v>
      </c>
      <c r="K22" s="62">
        <v>3</v>
      </c>
      <c r="L22" s="41">
        <f>VLOOKUP(K22,Reinigungstage!A10:D31,4,FALSE)</f>
        <v>112.05</v>
      </c>
      <c r="M22" s="41">
        <f t="shared" ref="M22:M52" si="0">ROUND(IF(L22=0,0,L22*G22),2)</f>
        <v>8802.65</v>
      </c>
      <c r="N22" s="93"/>
      <c r="O22" s="41"/>
      <c r="P22" s="41">
        <f t="shared" ref="P22:P52" si="1">ROUND(IF(N22=0,0,M22/N22),2)</f>
        <v>0</v>
      </c>
      <c r="Q22" s="41">
        <f t="shared" ref="Q22:Q52" si="2">IF(M22=0,0,IF(O22="",0,ROUND(P22*O22,2)))</f>
        <v>0</v>
      </c>
      <c r="R22" s="41">
        <f t="shared" ref="R22:R52" si="3">ROUND(IF(P22=0,0,P22/L22),2)</f>
        <v>0</v>
      </c>
      <c r="S22" s="41">
        <f t="shared" ref="S22:S52" si="4">ROUND(IF(Q22=0,0,Q22/L22),2)</f>
        <v>0</v>
      </c>
      <c r="T22" s="4" t="str">
        <f t="shared" ref="T22:T52" si="5">IF(M22=0,"",IF(N22=0,"Leistungswert eintragen",IF(O22=0,"SVS prüfen","")))</f>
        <v>Leistungswert eintragen</v>
      </c>
      <c r="U22" s="4">
        <f t="shared" ref="U22:U52" si="6">VLOOKUP(J22,$U$4:$V$12,2,FALSE)</f>
        <v>0</v>
      </c>
    </row>
    <row r="23" spans="1:21" ht="15" customHeight="1" x14ac:dyDescent="0.2">
      <c r="A23" s="22">
        <v>2</v>
      </c>
      <c r="B23" s="91" t="s">
        <v>278</v>
      </c>
      <c r="C23" s="92" t="s">
        <v>271</v>
      </c>
      <c r="D23" s="92" t="s">
        <v>275</v>
      </c>
      <c r="E23" s="92" t="s">
        <v>279</v>
      </c>
      <c r="F23" s="92" t="s">
        <v>277</v>
      </c>
      <c r="G23" s="62">
        <v>45.8</v>
      </c>
      <c r="H23" s="62"/>
      <c r="I23" s="62"/>
      <c r="J23" s="22" t="s">
        <v>273</v>
      </c>
      <c r="K23" s="62">
        <v>3</v>
      </c>
      <c r="L23" s="41">
        <f>VLOOKUP(K23,Reinigungstage!A10:D31,4,FALSE)</f>
        <v>112.05</v>
      </c>
      <c r="M23" s="41">
        <f t="shared" si="0"/>
        <v>5131.8900000000003</v>
      </c>
      <c r="N23" s="93"/>
      <c r="O23" s="41"/>
      <c r="P23" s="41">
        <f t="shared" si="1"/>
        <v>0</v>
      </c>
      <c r="Q23" s="41">
        <f t="shared" si="2"/>
        <v>0</v>
      </c>
      <c r="R23" s="41">
        <f t="shared" si="3"/>
        <v>0</v>
      </c>
      <c r="S23" s="41">
        <f t="shared" si="4"/>
        <v>0</v>
      </c>
      <c r="T23" s="4" t="str">
        <f t="shared" si="5"/>
        <v>Leistungswert eintragen</v>
      </c>
      <c r="U23" s="4">
        <f t="shared" si="6"/>
        <v>0</v>
      </c>
    </row>
    <row r="24" spans="1:21" ht="15" customHeight="1" x14ac:dyDescent="0.2">
      <c r="A24" s="22">
        <v>3</v>
      </c>
      <c r="B24" s="91" t="s">
        <v>280</v>
      </c>
      <c r="C24" s="92" t="s">
        <v>271</v>
      </c>
      <c r="D24" s="92" t="s">
        <v>275</v>
      </c>
      <c r="E24" s="92" t="s">
        <v>281</v>
      </c>
      <c r="F24" s="92" t="s">
        <v>227</v>
      </c>
      <c r="G24" s="62">
        <v>14.37</v>
      </c>
      <c r="H24" s="62"/>
      <c r="I24" s="62"/>
      <c r="J24" s="22" t="s">
        <v>269</v>
      </c>
      <c r="K24" s="62">
        <v>5</v>
      </c>
      <c r="L24" s="41">
        <f>VLOOKUP(K24,Reinigungstage!A10:D31,4,FALSE)</f>
        <v>186.75</v>
      </c>
      <c r="M24" s="41">
        <f t="shared" si="0"/>
        <v>2683.6</v>
      </c>
      <c r="N24" s="93"/>
      <c r="O24" s="41"/>
      <c r="P24" s="41">
        <f t="shared" si="1"/>
        <v>0</v>
      </c>
      <c r="Q24" s="41">
        <f t="shared" si="2"/>
        <v>0</v>
      </c>
      <c r="R24" s="41">
        <f t="shared" si="3"/>
        <v>0</v>
      </c>
      <c r="S24" s="41">
        <f t="shared" si="4"/>
        <v>0</v>
      </c>
      <c r="T24" s="4" t="str">
        <f t="shared" si="5"/>
        <v>Leistungswert eintragen</v>
      </c>
      <c r="U24" s="4">
        <f t="shared" si="6"/>
        <v>0</v>
      </c>
    </row>
    <row r="25" spans="1:21" ht="15" customHeight="1" x14ac:dyDescent="0.2">
      <c r="A25" s="22">
        <v>4</v>
      </c>
      <c r="B25" s="91" t="s">
        <v>282</v>
      </c>
      <c r="C25" s="92" t="s">
        <v>271</v>
      </c>
      <c r="D25" s="92" t="s">
        <v>275</v>
      </c>
      <c r="E25" s="92" t="s">
        <v>283</v>
      </c>
      <c r="F25" s="92" t="s">
        <v>227</v>
      </c>
      <c r="G25" s="62">
        <v>28.59</v>
      </c>
      <c r="H25" s="62"/>
      <c r="I25" s="62"/>
      <c r="J25" s="22" t="s">
        <v>266</v>
      </c>
      <c r="K25" s="62">
        <v>1</v>
      </c>
      <c r="L25" s="41">
        <f>VLOOKUP(K25,Reinigungstage!A10:D31,4,FALSE)</f>
        <v>38.79</v>
      </c>
      <c r="M25" s="41">
        <f t="shared" si="0"/>
        <v>1109.01</v>
      </c>
      <c r="N25" s="93"/>
      <c r="O25" s="41"/>
      <c r="P25" s="41">
        <f t="shared" si="1"/>
        <v>0</v>
      </c>
      <c r="Q25" s="41">
        <f t="shared" si="2"/>
        <v>0</v>
      </c>
      <c r="R25" s="41">
        <f t="shared" si="3"/>
        <v>0</v>
      </c>
      <c r="S25" s="41">
        <f t="shared" si="4"/>
        <v>0</v>
      </c>
      <c r="T25" s="4" t="str">
        <f t="shared" si="5"/>
        <v>Leistungswert eintragen</v>
      </c>
      <c r="U25" s="4">
        <f t="shared" si="6"/>
        <v>0</v>
      </c>
    </row>
    <row r="26" spans="1:21" ht="15" customHeight="1" x14ac:dyDescent="0.2">
      <c r="A26" s="22">
        <v>5</v>
      </c>
      <c r="B26" s="91" t="s">
        <v>284</v>
      </c>
      <c r="C26" s="92" t="s">
        <v>271</v>
      </c>
      <c r="D26" s="92" t="s">
        <v>275</v>
      </c>
      <c r="E26" s="92" t="s">
        <v>226</v>
      </c>
      <c r="F26" s="92" t="s">
        <v>227</v>
      </c>
      <c r="G26" s="62">
        <v>68.290000000000006</v>
      </c>
      <c r="H26" s="62"/>
      <c r="I26" s="62"/>
      <c r="J26" s="22" t="s">
        <v>264</v>
      </c>
      <c r="K26" s="62">
        <v>5</v>
      </c>
      <c r="L26" s="41">
        <f>VLOOKUP(K26,Reinigungstage!A10:D31,4,FALSE)</f>
        <v>186.75</v>
      </c>
      <c r="M26" s="41">
        <f t="shared" si="0"/>
        <v>12753.16</v>
      </c>
      <c r="N26" s="93"/>
      <c r="O26" s="41"/>
      <c r="P26" s="41">
        <f t="shared" si="1"/>
        <v>0</v>
      </c>
      <c r="Q26" s="41">
        <f t="shared" si="2"/>
        <v>0</v>
      </c>
      <c r="R26" s="41">
        <f t="shared" si="3"/>
        <v>0</v>
      </c>
      <c r="S26" s="41">
        <f t="shared" si="4"/>
        <v>0</v>
      </c>
      <c r="T26" s="4" t="str">
        <f t="shared" si="5"/>
        <v>Leistungswert eintragen</v>
      </c>
      <c r="U26" s="4">
        <f t="shared" si="6"/>
        <v>0</v>
      </c>
    </row>
    <row r="27" spans="1:21" ht="15" customHeight="1" x14ac:dyDescent="0.2">
      <c r="A27" s="22">
        <v>6</v>
      </c>
      <c r="B27" s="91" t="s">
        <v>285</v>
      </c>
      <c r="C27" s="92" t="s">
        <v>271</v>
      </c>
      <c r="D27" s="92" t="s">
        <v>275</v>
      </c>
      <c r="E27" s="92" t="s">
        <v>286</v>
      </c>
      <c r="F27" s="92" t="s">
        <v>287</v>
      </c>
      <c r="G27" s="62">
        <v>13.45</v>
      </c>
      <c r="H27" s="62"/>
      <c r="I27" s="62"/>
      <c r="J27" s="22" t="s">
        <v>267</v>
      </c>
      <c r="K27" s="62">
        <v>5</v>
      </c>
      <c r="L27" s="41">
        <f>VLOOKUP(K27,Reinigungstage!A10:D31,4,FALSE)</f>
        <v>186.75</v>
      </c>
      <c r="M27" s="41">
        <f t="shared" si="0"/>
        <v>2511.79</v>
      </c>
      <c r="N27" s="93"/>
      <c r="O27" s="41"/>
      <c r="P27" s="41">
        <f t="shared" si="1"/>
        <v>0</v>
      </c>
      <c r="Q27" s="41">
        <f t="shared" si="2"/>
        <v>0</v>
      </c>
      <c r="R27" s="41">
        <f t="shared" si="3"/>
        <v>0</v>
      </c>
      <c r="S27" s="41">
        <f t="shared" si="4"/>
        <v>0</v>
      </c>
      <c r="T27" s="4" t="str">
        <f t="shared" si="5"/>
        <v>Leistungswert eintragen</v>
      </c>
      <c r="U27" s="4">
        <f t="shared" si="6"/>
        <v>0</v>
      </c>
    </row>
    <row r="28" spans="1:21" ht="15" customHeight="1" x14ac:dyDescent="0.2">
      <c r="A28" s="22">
        <v>7</v>
      </c>
      <c r="B28" s="91" t="s">
        <v>288</v>
      </c>
      <c r="C28" s="92" t="s">
        <v>271</v>
      </c>
      <c r="D28" s="92" t="s">
        <v>275</v>
      </c>
      <c r="E28" s="92" t="s">
        <v>289</v>
      </c>
      <c r="F28" s="92" t="s">
        <v>287</v>
      </c>
      <c r="G28" s="62">
        <v>13.45</v>
      </c>
      <c r="H28" s="62"/>
      <c r="I28" s="62"/>
      <c r="J28" s="22" t="s">
        <v>267</v>
      </c>
      <c r="K28" s="62">
        <v>5</v>
      </c>
      <c r="L28" s="41">
        <f>VLOOKUP(K28,Reinigungstage!A10:D31,4,FALSE)</f>
        <v>186.75</v>
      </c>
      <c r="M28" s="41">
        <f t="shared" si="0"/>
        <v>2511.79</v>
      </c>
      <c r="N28" s="93"/>
      <c r="O28" s="41"/>
      <c r="P28" s="41">
        <f t="shared" si="1"/>
        <v>0</v>
      </c>
      <c r="Q28" s="41">
        <f t="shared" si="2"/>
        <v>0</v>
      </c>
      <c r="R28" s="41">
        <f t="shared" si="3"/>
        <v>0</v>
      </c>
      <c r="S28" s="41">
        <f t="shared" si="4"/>
        <v>0</v>
      </c>
      <c r="T28" s="4" t="str">
        <f t="shared" si="5"/>
        <v>Leistungswert eintragen</v>
      </c>
      <c r="U28" s="4">
        <f t="shared" si="6"/>
        <v>0</v>
      </c>
    </row>
    <row r="29" spans="1:21" ht="15" customHeight="1" x14ac:dyDescent="0.2">
      <c r="A29" s="22">
        <v>8</v>
      </c>
      <c r="B29" s="91" t="s">
        <v>290</v>
      </c>
      <c r="C29" s="92" t="s">
        <v>271</v>
      </c>
      <c r="D29" s="92" t="s">
        <v>275</v>
      </c>
      <c r="E29" s="92" t="s">
        <v>291</v>
      </c>
      <c r="F29" s="92" t="s">
        <v>287</v>
      </c>
      <c r="G29" s="62">
        <v>110.19</v>
      </c>
      <c r="H29" s="62"/>
      <c r="I29" s="62"/>
      <c r="J29" s="22" t="s">
        <v>264</v>
      </c>
      <c r="K29" s="62">
        <v>5</v>
      </c>
      <c r="L29" s="41">
        <f>VLOOKUP(K29,Reinigungstage!A10:D31,4,FALSE)</f>
        <v>186.75</v>
      </c>
      <c r="M29" s="41">
        <f t="shared" si="0"/>
        <v>20577.98</v>
      </c>
      <c r="N29" s="93"/>
      <c r="O29" s="41"/>
      <c r="P29" s="41">
        <f t="shared" si="1"/>
        <v>0</v>
      </c>
      <c r="Q29" s="41">
        <f t="shared" si="2"/>
        <v>0</v>
      </c>
      <c r="R29" s="41">
        <f t="shared" si="3"/>
        <v>0</v>
      </c>
      <c r="S29" s="41">
        <f t="shared" si="4"/>
        <v>0</v>
      </c>
      <c r="T29" s="4" t="str">
        <f t="shared" si="5"/>
        <v>Leistungswert eintragen</v>
      </c>
      <c r="U29" s="4">
        <f t="shared" si="6"/>
        <v>0</v>
      </c>
    </row>
    <row r="30" spans="1:21" ht="10.5" x14ac:dyDescent="0.2">
      <c r="A30" s="22">
        <v>9</v>
      </c>
      <c r="B30" s="91" t="s">
        <v>292</v>
      </c>
      <c r="C30" s="92" t="s">
        <v>271</v>
      </c>
      <c r="D30" s="92" t="s">
        <v>275</v>
      </c>
      <c r="E30" s="92" t="s">
        <v>293</v>
      </c>
      <c r="F30" s="92" t="s">
        <v>287</v>
      </c>
      <c r="G30" s="62">
        <v>18.28</v>
      </c>
      <c r="H30" s="62"/>
      <c r="I30" s="62"/>
      <c r="J30" s="22" t="s">
        <v>270</v>
      </c>
      <c r="K30" s="62">
        <v>5</v>
      </c>
      <c r="L30" s="41">
        <f>VLOOKUP(K30,Reinigungstage!A10:D31,4,FALSE)</f>
        <v>186.75</v>
      </c>
      <c r="M30" s="41">
        <f t="shared" si="0"/>
        <v>3413.79</v>
      </c>
      <c r="N30" s="93"/>
      <c r="O30" s="41"/>
      <c r="P30" s="41">
        <f t="shared" si="1"/>
        <v>0</v>
      </c>
      <c r="Q30" s="41">
        <f t="shared" si="2"/>
        <v>0</v>
      </c>
      <c r="R30" s="41">
        <f t="shared" si="3"/>
        <v>0</v>
      </c>
      <c r="S30" s="41">
        <f t="shared" si="4"/>
        <v>0</v>
      </c>
      <c r="T30" s="4" t="str">
        <f t="shared" si="5"/>
        <v>Leistungswert eintragen</v>
      </c>
      <c r="U30" s="4">
        <f t="shared" si="6"/>
        <v>0</v>
      </c>
    </row>
    <row r="31" spans="1:21" ht="15" customHeight="1" x14ac:dyDescent="0.2">
      <c r="A31" s="22">
        <v>10</v>
      </c>
      <c r="B31" s="91" t="s">
        <v>294</v>
      </c>
      <c r="C31" s="92" t="s">
        <v>271</v>
      </c>
      <c r="D31" s="92" t="s">
        <v>275</v>
      </c>
      <c r="E31" s="92" t="s">
        <v>295</v>
      </c>
      <c r="F31" s="92" t="s">
        <v>277</v>
      </c>
      <c r="G31" s="62">
        <v>20.5</v>
      </c>
      <c r="H31" s="62"/>
      <c r="I31" s="62"/>
      <c r="J31" s="22" t="s">
        <v>273</v>
      </c>
      <c r="K31" s="62">
        <v>2</v>
      </c>
      <c r="L31" s="41">
        <f>VLOOKUP(K31,Reinigungstage!A10:D31,4,FALSE)</f>
        <v>77.59</v>
      </c>
      <c r="M31" s="41">
        <f t="shared" si="0"/>
        <v>1590.6</v>
      </c>
      <c r="N31" s="93"/>
      <c r="O31" s="41"/>
      <c r="P31" s="41">
        <f t="shared" si="1"/>
        <v>0</v>
      </c>
      <c r="Q31" s="41">
        <f t="shared" si="2"/>
        <v>0</v>
      </c>
      <c r="R31" s="41">
        <f t="shared" si="3"/>
        <v>0</v>
      </c>
      <c r="S31" s="41">
        <f t="shared" si="4"/>
        <v>0</v>
      </c>
      <c r="T31" s="4" t="str">
        <f t="shared" si="5"/>
        <v>Leistungswert eintragen</v>
      </c>
      <c r="U31" s="4">
        <f t="shared" si="6"/>
        <v>0</v>
      </c>
    </row>
    <row r="32" spans="1:21" ht="15" customHeight="1" x14ac:dyDescent="0.2">
      <c r="A32" s="22">
        <v>11</v>
      </c>
      <c r="B32" s="91" t="s">
        <v>296</v>
      </c>
      <c r="C32" s="92" t="s">
        <v>271</v>
      </c>
      <c r="D32" s="92" t="s">
        <v>275</v>
      </c>
      <c r="E32" s="92" t="s">
        <v>295</v>
      </c>
      <c r="F32" s="92" t="s">
        <v>277</v>
      </c>
      <c r="G32" s="62">
        <v>20.3</v>
      </c>
      <c r="H32" s="62"/>
      <c r="I32" s="62"/>
      <c r="J32" s="22" t="s">
        <v>273</v>
      </c>
      <c r="K32" s="62">
        <v>2</v>
      </c>
      <c r="L32" s="41">
        <f>VLOOKUP(K32,Reinigungstage!A10:D31,4,FALSE)</f>
        <v>77.59</v>
      </c>
      <c r="M32" s="41">
        <f t="shared" si="0"/>
        <v>1575.08</v>
      </c>
      <c r="N32" s="93"/>
      <c r="O32" s="41"/>
      <c r="P32" s="41">
        <f t="shared" si="1"/>
        <v>0</v>
      </c>
      <c r="Q32" s="41">
        <f t="shared" si="2"/>
        <v>0</v>
      </c>
      <c r="R32" s="41">
        <f t="shared" si="3"/>
        <v>0</v>
      </c>
      <c r="S32" s="41">
        <f t="shared" si="4"/>
        <v>0</v>
      </c>
      <c r="T32" s="4" t="str">
        <f t="shared" si="5"/>
        <v>Leistungswert eintragen</v>
      </c>
      <c r="U32" s="4">
        <f t="shared" si="6"/>
        <v>0</v>
      </c>
    </row>
    <row r="33" spans="1:21" ht="15" customHeight="1" x14ac:dyDescent="0.2">
      <c r="A33" s="22">
        <v>12</v>
      </c>
      <c r="B33" s="91" t="s">
        <v>297</v>
      </c>
      <c r="C33" s="92" t="s">
        <v>271</v>
      </c>
      <c r="D33" s="92" t="s">
        <v>275</v>
      </c>
      <c r="E33" s="92" t="s">
        <v>298</v>
      </c>
      <c r="F33" s="92" t="s">
        <v>277</v>
      </c>
      <c r="G33" s="62">
        <v>67.8</v>
      </c>
      <c r="H33" s="62"/>
      <c r="I33" s="62"/>
      <c r="J33" s="22" t="s">
        <v>273</v>
      </c>
      <c r="K33" s="62">
        <v>2</v>
      </c>
      <c r="L33" s="41">
        <f>VLOOKUP(K33,Reinigungstage!A10:D31,4,FALSE)</f>
        <v>77.59</v>
      </c>
      <c r="M33" s="41">
        <f t="shared" si="0"/>
        <v>5260.6</v>
      </c>
      <c r="N33" s="93"/>
      <c r="O33" s="41"/>
      <c r="P33" s="41">
        <f t="shared" si="1"/>
        <v>0</v>
      </c>
      <c r="Q33" s="41">
        <f t="shared" si="2"/>
        <v>0</v>
      </c>
      <c r="R33" s="41">
        <f t="shared" si="3"/>
        <v>0</v>
      </c>
      <c r="S33" s="41">
        <f t="shared" si="4"/>
        <v>0</v>
      </c>
      <c r="T33" s="4" t="str">
        <f t="shared" si="5"/>
        <v>Leistungswert eintragen</v>
      </c>
      <c r="U33" s="4">
        <f t="shared" si="6"/>
        <v>0</v>
      </c>
    </row>
    <row r="34" spans="1:21" ht="15" customHeight="1" x14ac:dyDescent="0.2">
      <c r="A34" s="22">
        <v>13</v>
      </c>
      <c r="B34" s="91" t="s">
        <v>299</v>
      </c>
      <c r="C34" s="92" t="s">
        <v>271</v>
      </c>
      <c r="D34" s="92" t="s">
        <v>275</v>
      </c>
      <c r="E34" s="92" t="s">
        <v>300</v>
      </c>
      <c r="F34" s="92" t="s">
        <v>277</v>
      </c>
      <c r="G34" s="62">
        <v>11.53</v>
      </c>
      <c r="H34" s="62"/>
      <c r="I34" s="62"/>
      <c r="J34" s="22" t="s">
        <v>273</v>
      </c>
      <c r="K34" s="62">
        <v>2</v>
      </c>
      <c r="L34" s="41">
        <f>VLOOKUP(K34,Reinigungstage!A10:D31,4,FALSE)</f>
        <v>77.59</v>
      </c>
      <c r="M34" s="41">
        <f t="shared" si="0"/>
        <v>894.61</v>
      </c>
      <c r="N34" s="93"/>
      <c r="O34" s="41"/>
      <c r="P34" s="41">
        <f t="shared" si="1"/>
        <v>0</v>
      </c>
      <c r="Q34" s="41">
        <f t="shared" si="2"/>
        <v>0</v>
      </c>
      <c r="R34" s="41">
        <f t="shared" si="3"/>
        <v>0</v>
      </c>
      <c r="S34" s="41">
        <f t="shared" si="4"/>
        <v>0</v>
      </c>
      <c r="T34" s="4" t="str">
        <f t="shared" si="5"/>
        <v>Leistungswert eintragen</v>
      </c>
      <c r="U34" s="4">
        <f t="shared" si="6"/>
        <v>0</v>
      </c>
    </row>
    <row r="35" spans="1:21" ht="15" customHeight="1" x14ac:dyDescent="0.2">
      <c r="A35" s="22">
        <v>14</v>
      </c>
      <c r="B35" s="91" t="s">
        <v>301</v>
      </c>
      <c r="C35" s="92" t="s">
        <v>271</v>
      </c>
      <c r="D35" s="92" t="s">
        <v>275</v>
      </c>
      <c r="E35" s="92" t="s">
        <v>300</v>
      </c>
      <c r="F35" s="92" t="s">
        <v>277</v>
      </c>
      <c r="G35" s="62">
        <v>8.43</v>
      </c>
      <c r="H35" s="62"/>
      <c r="I35" s="62"/>
      <c r="J35" s="22" t="s">
        <v>273</v>
      </c>
      <c r="K35" s="62">
        <v>2</v>
      </c>
      <c r="L35" s="41">
        <f>VLOOKUP(K35,Reinigungstage!A10:D31,4,FALSE)</f>
        <v>77.59</v>
      </c>
      <c r="M35" s="41">
        <f t="shared" si="0"/>
        <v>654.08000000000004</v>
      </c>
      <c r="N35" s="93"/>
      <c r="O35" s="41"/>
      <c r="P35" s="41">
        <f t="shared" si="1"/>
        <v>0</v>
      </c>
      <c r="Q35" s="41">
        <f t="shared" si="2"/>
        <v>0</v>
      </c>
      <c r="R35" s="41">
        <f t="shared" si="3"/>
        <v>0</v>
      </c>
      <c r="S35" s="41">
        <f t="shared" si="4"/>
        <v>0</v>
      </c>
      <c r="T35" s="4" t="str">
        <f t="shared" si="5"/>
        <v>Leistungswert eintragen</v>
      </c>
      <c r="U35" s="4">
        <f t="shared" si="6"/>
        <v>0</v>
      </c>
    </row>
    <row r="36" spans="1:21" ht="15" customHeight="1" x14ac:dyDescent="0.2">
      <c r="A36" s="22">
        <v>15</v>
      </c>
      <c r="B36" s="91" t="s">
        <v>302</v>
      </c>
      <c r="C36" s="92" t="s">
        <v>271</v>
      </c>
      <c r="D36" s="92" t="s">
        <v>275</v>
      </c>
      <c r="E36" s="92" t="s">
        <v>303</v>
      </c>
      <c r="F36" s="92" t="s">
        <v>227</v>
      </c>
      <c r="G36" s="62">
        <v>7.51</v>
      </c>
      <c r="H36" s="62"/>
      <c r="I36" s="62"/>
      <c r="J36" s="22" t="s">
        <v>266</v>
      </c>
      <c r="K36" s="62">
        <v>5</v>
      </c>
      <c r="L36" s="41">
        <f>VLOOKUP(K36,Reinigungstage!A10:D31,4,FALSE)</f>
        <v>186.75</v>
      </c>
      <c r="M36" s="41">
        <f t="shared" si="0"/>
        <v>1402.49</v>
      </c>
      <c r="N36" s="93"/>
      <c r="O36" s="41"/>
      <c r="P36" s="41">
        <f t="shared" si="1"/>
        <v>0</v>
      </c>
      <c r="Q36" s="41">
        <f t="shared" si="2"/>
        <v>0</v>
      </c>
      <c r="R36" s="41">
        <f t="shared" si="3"/>
        <v>0</v>
      </c>
      <c r="S36" s="41">
        <f t="shared" si="4"/>
        <v>0</v>
      </c>
      <c r="T36" s="4" t="str">
        <f t="shared" si="5"/>
        <v>Leistungswert eintragen</v>
      </c>
      <c r="U36" s="4">
        <f t="shared" si="6"/>
        <v>0</v>
      </c>
    </row>
    <row r="37" spans="1:21" ht="15" customHeight="1" x14ac:dyDescent="0.2">
      <c r="A37" s="22">
        <v>16</v>
      </c>
      <c r="B37" s="91" t="s">
        <v>304</v>
      </c>
      <c r="C37" s="92" t="s">
        <v>271</v>
      </c>
      <c r="D37" s="92" t="s">
        <v>275</v>
      </c>
      <c r="E37" s="92" t="s">
        <v>305</v>
      </c>
      <c r="F37" s="92" t="s">
        <v>227</v>
      </c>
      <c r="G37" s="62">
        <v>50.05</v>
      </c>
      <c r="H37" s="62"/>
      <c r="I37" s="62"/>
      <c r="J37" s="22" t="s">
        <v>269</v>
      </c>
      <c r="K37" s="62">
        <v>5</v>
      </c>
      <c r="L37" s="41">
        <f>VLOOKUP(K37,Reinigungstage!A10:D31,4,FALSE)</f>
        <v>186.75</v>
      </c>
      <c r="M37" s="41">
        <f t="shared" si="0"/>
        <v>9346.84</v>
      </c>
      <c r="N37" s="93"/>
      <c r="O37" s="41"/>
      <c r="P37" s="41">
        <f t="shared" si="1"/>
        <v>0</v>
      </c>
      <c r="Q37" s="41">
        <f t="shared" si="2"/>
        <v>0</v>
      </c>
      <c r="R37" s="41">
        <f t="shared" si="3"/>
        <v>0</v>
      </c>
      <c r="S37" s="41">
        <f t="shared" si="4"/>
        <v>0</v>
      </c>
      <c r="T37" s="4" t="str">
        <f t="shared" si="5"/>
        <v>Leistungswert eintragen</v>
      </c>
      <c r="U37" s="4">
        <f t="shared" si="6"/>
        <v>0</v>
      </c>
    </row>
    <row r="38" spans="1:21" ht="15" customHeight="1" x14ac:dyDescent="0.2">
      <c r="A38" s="22">
        <v>17</v>
      </c>
      <c r="B38" s="91" t="s">
        <v>306</v>
      </c>
      <c r="C38" s="92" t="s">
        <v>271</v>
      </c>
      <c r="D38" s="92" t="s">
        <v>275</v>
      </c>
      <c r="E38" s="92" t="s">
        <v>307</v>
      </c>
      <c r="F38" s="92" t="s">
        <v>287</v>
      </c>
      <c r="G38" s="62">
        <v>20.79</v>
      </c>
      <c r="H38" s="62"/>
      <c r="I38" s="62"/>
      <c r="J38" s="22" t="s">
        <v>264</v>
      </c>
      <c r="K38" s="62">
        <v>5</v>
      </c>
      <c r="L38" s="41">
        <f>VLOOKUP(K38,Reinigungstage!A10:D31,4,FALSE)</f>
        <v>186.75</v>
      </c>
      <c r="M38" s="41">
        <f t="shared" si="0"/>
        <v>3882.53</v>
      </c>
      <c r="N38" s="93"/>
      <c r="O38" s="41"/>
      <c r="P38" s="41">
        <f t="shared" si="1"/>
        <v>0</v>
      </c>
      <c r="Q38" s="41">
        <f t="shared" si="2"/>
        <v>0</v>
      </c>
      <c r="R38" s="41">
        <f t="shared" si="3"/>
        <v>0</v>
      </c>
      <c r="S38" s="41">
        <f t="shared" si="4"/>
        <v>0</v>
      </c>
      <c r="T38" s="4" t="str">
        <f t="shared" si="5"/>
        <v>Leistungswert eintragen</v>
      </c>
      <c r="U38" s="4">
        <f t="shared" si="6"/>
        <v>0</v>
      </c>
    </row>
    <row r="39" spans="1:21" ht="24.95" customHeight="1" x14ac:dyDescent="0.2">
      <c r="A39" s="22">
        <v>18</v>
      </c>
      <c r="B39" s="91" t="s">
        <v>308</v>
      </c>
      <c r="C39" s="92" t="s">
        <v>271</v>
      </c>
      <c r="D39" s="92" t="s">
        <v>275</v>
      </c>
      <c r="E39" s="92" t="s">
        <v>579</v>
      </c>
      <c r="F39" s="92" t="s">
        <v>287</v>
      </c>
      <c r="G39" s="62">
        <v>50.05</v>
      </c>
      <c r="H39" s="62"/>
      <c r="I39" s="62"/>
      <c r="J39" s="22" t="s">
        <v>269</v>
      </c>
      <c r="K39" s="62">
        <v>5</v>
      </c>
      <c r="L39" s="41">
        <f>VLOOKUP(K39,Reinigungstage!A10:D31,4,FALSE)</f>
        <v>186.75</v>
      </c>
      <c r="M39" s="41">
        <f t="shared" si="0"/>
        <v>9346.84</v>
      </c>
      <c r="N39" s="93"/>
      <c r="O39" s="41"/>
      <c r="P39" s="41">
        <f t="shared" si="1"/>
        <v>0</v>
      </c>
      <c r="Q39" s="41">
        <f t="shared" si="2"/>
        <v>0</v>
      </c>
      <c r="R39" s="41">
        <f t="shared" si="3"/>
        <v>0</v>
      </c>
      <c r="S39" s="41">
        <f t="shared" si="4"/>
        <v>0</v>
      </c>
      <c r="T39" s="4" t="str">
        <f t="shared" si="5"/>
        <v>Leistungswert eintragen</v>
      </c>
      <c r="U39" s="4">
        <f t="shared" si="6"/>
        <v>0</v>
      </c>
    </row>
    <row r="40" spans="1:21" ht="15" customHeight="1" x14ac:dyDescent="0.2">
      <c r="A40" s="22">
        <v>20</v>
      </c>
      <c r="B40" s="91" t="s">
        <v>311</v>
      </c>
      <c r="C40" s="92" t="s">
        <v>271</v>
      </c>
      <c r="D40" s="92" t="s">
        <v>275</v>
      </c>
      <c r="E40" s="128" t="s">
        <v>312</v>
      </c>
      <c r="F40" s="128" t="s">
        <v>227</v>
      </c>
      <c r="G40" s="129">
        <v>19.52</v>
      </c>
      <c r="H40" s="129"/>
      <c r="I40" s="129"/>
      <c r="J40" s="130" t="s">
        <v>268</v>
      </c>
      <c r="K40" s="129">
        <v>0</v>
      </c>
      <c r="L40" s="131">
        <f>VLOOKUP(K40,Reinigungstage!A10:D31,4,FALSE)</f>
        <v>0</v>
      </c>
      <c r="M40" s="131">
        <f t="shared" si="0"/>
        <v>0</v>
      </c>
      <c r="N40" s="93"/>
      <c r="O40" s="41"/>
      <c r="P40" s="41">
        <f t="shared" si="1"/>
        <v>0</v>
      </c>
      <c r="Q40" s="41">
        <f t="shared" si="2"/>
        <v>0</v>
      </c>
      <c r="R40" s="41">
        <f t="shared" si="3"/>
        <v>0</v>
      </c>
      <c r="S40" s="41">
        <f t="shared" si="4"/>
        <v>0</v>
      </c>
      <c r="T40" s="4" t="str">
        <f t="shared" si="5"/>
        <v/>
      </c>
      <c r="U40" s="4">
        <f t="shared" si="6"/>
        <v>0</v>
      </c>
    </row>
    <row r="41" spans="1:21" ht="15" customHeight="1" x14ac:dyDescent="0.2">
      <c r="A41" s="22">
        <v>21</v>
      </c>
      <c r="B41" s="91" t="s">
        <v>313</v>
      </c>
      <c r="C41" s="92" t="s">
        <v>271</v>
      </c>
      <c r="D41" s="92" t="s">
        <v>275</v>
      </c>
      <c r="E41" s="92" t="s">
        <v>314</v>
      </c>
      <c r="F41" s="92" t="s">
        <v>287</v>
      </c>
      <c r="G41" s="62">
        <v>174.6</v>
      </c>
      <c r="H41" s="62"/>
      <c r="I41" s="62"/>
      <c r="J41" s="22" t="s">
        <v>264</v>
      </c>
      <c r="K41" s="62">
        <v>5</v>
      </c>
      <c r="L41" s="41">
        <f>VLOOKUP(K41,Reinigungstage!A10:D31,4,FALSE)</f>
        <v>186.75</v>
      </c>
      <c r="M41" s="41">
        <f t="shared" si="0"/>
        <v>32606.55</v>
      </c>
      <c r="N41" s="93"/>
      <c r="O41" s="41"/>
      <c r="P41" s="41">
        <f t="shared" si="1"/>
        <v>0</v>
      </c>
      <c r="Q41" s="41">
        <f t="shared" si="2"/>
        <v>0</v>
      </c>
      <c r="R41" s="41">
        <f t="shared" si="3"/>
        <v>0</v>
      </c>
      <c r="S41" s="41">
        <f t="shared" si="4"/>
        <v>0</v>
      </c>
      <c r="T41" s="4" t="str">
        <f t="shared" si="5"/>
        <v>Leistungswert eintragen</v>
      </c>
      <c r="U41" s="4">
        <f t="shared" si="6"/>
        <v>0</v>
      </c>
    </row>
    <row r="42" spans="1:21" ht="15" customHeight="1" x14ac:dyDescent="0.2">
      <c r="A42" s="22">
        <v>22</v>
      </c>
      <c r="B42" s="91" t="s">
        <v>315</v>
      </c>
      <c r="C42" s="92" t="s">
        <v>271</v>
      </c>
      <c r="D42" s="92" t="s">
        <v>275</v>
      </c>
      <c r="E42" s="92" t="s">
        <v>316</v>
      </c>
      <c r="F42" s="92" t="s">
        <v>287</v>
      </c>
      <c r="G42" s="62">
        <v>4.13</v>
      </c>
      <c r="H42" s="62"/>
      <c r="I42" s="62"/>
      <c r="J42" s="22" t="s">
        <v>268</v>
      </c>
      <c r="K42" s="62">
        <v>0</v>
      </c>
      <c r="L42" s="41">
        <f>VLOOKUP(K42,Reinigungstage!A10:D31,4,FALSE)</f>
        <v>0</v>
      </c>
      <c r="M42" s="41">
        <f t="shared" si="0"/>
        <v>0</v>
      </c>
      <c r="N42" s="93"/>
      <c r="O42" s="41"/>
      <c r="P42" s="41">
        <f t="shared" si="1"/>
        <v>0</v>
      </c>
      <c r="Q42" s="41">
        <f t="shared" si="2"/>
        <v>0</v>
      </c>
      <c r="R42" s="41">
        <f t="shared" si="3"/>
        <v>0</v>
      </c>
      <c r="S42" s="41">
        <f t="shared" si="4"/>
        <v>0</v>
      </c>
      <c r="T42" s="4" t="str">
        <f t="shared" si="5"/>
        <v/>
      </c>
      <c r="U42" s="4">
        <f t="shared" si="6"/>
        <v>0</v>
      </c>
    </row>
    <row r="43" spans="1:21" ht="15" customHeight="1" x14ac:dyDescent="0.2">
      <c r="A43" s="22">
        <v>23</v>
      </c>
      <c r="B43" s="91" t="s">
        <v>317</v>
      </c>
      <c r="C43" s="92" t="s">
        <v>271</v>
      </c>
      <c r="D43" s="92" t="s">
        <v>275</v>
      </c>
      <c r="E43" s="92" t="s">
        <v>235</v>
      </c>
      <c r="F43" s="92" t="s">
        <v>287</v>
      </c>
      <c r="G43" s="62">
        <v>20.12</v>
      </c>
      <c r="H43" s="62"/>
      <c r="I43" s="62"/>
      <c r="J43" s="22" t="s">
        <v>267</v>
      </c>
      <c r="K43" s="62">
        <v>5</v>
      </c>
      <c r="L43" s="41">
        <f>VLOOKUP(K43,Reinigungstage!A10:D31,4,FALSE)</f>
        <v>186.75</v>
      </c>
      <c r="M43" s="41">
        <f t="shared" si="0"/>
        <v>3757.41</v>
      </c>
      <c r="N43" s="93"/>
      <c r="O43" s="41"/>
      <c r="P43" s="41">
        <f t="shared" si="1"/>
        <v>0</v>
      </c>
      <c r="Q43" s="41">
        <f t="shared" si="2"/>
        <v>0</v>
      </c>
      <c r="R43" s="41">
        <f t="shared" si="3"/>
        <v>0</v>
      </c>
      <c r="S43" s="41">
        <f t="shared" si="4"/>
        <v>0</v>
      </c>
      <c r="T43" s="4" t="str">
        <f t="shared" si="5"/>
        <v>Leistungswert eintragen</v>
      </c>
      <c r="U43" s="4">
        <f t="shared" si="6"/>
        <v>0</v>
      </c>
    </row>
    <row r="44" spans="1:21" ht="15" customHeight="1" x14ac:dyDescent="0.2">
      <c r="A44" s="22">
        <v>24</v>
      </c>
      <c r="B44" s="91" t="s">
        <v>318</v>
      </c>
      <c r="C44" s="92" t="s">
        <v>271</v>
      </c>
      <c r="D44" s="92" t="s">
        <v>275</v>
      </c>
      <c r="E44" s="92" t="s">
        <v>237</v>
      </c>
      <c r="F44" s="92" t="s">
        <v>287</v>
      </c>
      <c r="G44" s="62">
        <v>15.56</v>
      </c>
      <c r="H44" s="62"/>
      <c r="I44" s="62"/>
      <c r="J44" s="22" t="s">
        <v>267</v>
      </c>
      <c r="K44" s="62">
        <v>5</v>
      </c>
      <c r="L44" s="41">
        <f>VLOOKUP(K44,Reinigungstage!A10:D31,4,FALSE)</f>
        <v>186.75</v>
      </c>
      <c r="M44" s="41">
        <f t="shared" si="0"/>
        <v>2905.83</v>
      </c>
      <c r="N44" s="93"/>
      <c r="O44" s="41"/>
      <c r="P44" s="41">
        <f t="shared" si="1"/>
        <v>0</v>
      </c>
      <c r="Q44" s="41">
        <f t="shared" si="2"/>
        <v>0</v>
      </c>
      <c r="R44" s="41">
        <f t="shared" si="3"/>
        <v>0</v>
      </c>
      <c r="S44" s="41">
        <f t="shared" si="4"/>
        <v>0</v>
      </c>
      <c r="T44" s="4" t="str">
        <f t="shared" si="5"/>
        <v>Leistungswert eintragen</v>
      </c>
      <c r="U44" s="4">
        <f t="shared" si="6"/>
        <v>0</v>
      </c>
    </row>
    <row r="45" spans="1:21" ht="15" customHeight="1" x14ac:dyDescent="0.2">
      <c r="A45" s="22">
        <v>25</v>
      </c>
      <c r="B45" s="91" t="s">
        <v>319</v>
      </c>
      <c r="C45" s="92" t="s">
        <v>271</v>
      </c>
      <c r="D45" s="92" t="s">
        <v>275</v>
      </c>
      <c r="E45" s="92" t="s">
        <v>320</v>
      </c>
      <c r="F45" s="92" t="s">
        <v>287</v>
      </c>
      <c r="G45" s="62">
        <v>24.34</v>
      </c>
      <c r="H45" s="62"/>
      <c r="I45" s="62"/>
      <c r="J45" s="22" t="s">
        <v>264</v>
      </c>
      <c r="K45" s="62">
        <v>5</v>
      </c>
      <c r="L45" s="41">
        <f>VLOOKUP(K45,Reinigungstage!A10:D31,4,FALSE)</f>
        <v>186.75</v>
      </c>
      <c r="M45" s="41">
        <f t="shared" si="0"/>
        <v>4545.5</v>
      </c>
      <c r="N45" s="93"/>
      <c r="O45" s="41"/>
      <c r="P45" s="41">
        <f t="shared" si="1"/>
        <v>0</v>
      </c>
      <c r="Q45" s="41">
        <f t="shared" si="2"/>
        <v>0</v>
      </c>
      <c r="R45" s="41">
        <f t="shared" si="3"/>
        <v>0</v>
      </c>
      <c r="S45" s="41">
        <f t="shared" si="4"/>
        <v>0</v>
      </c>
      <c r="T45" s="4" t="str">
        <f t="shared" si="5"/>
        <v>Leistungswert eintragen</v>
      </c>
      <c r="U45" s="4">
        <f t="shared" si="6"/>
        <v>0</v>
      </c>
    </row>
    <row r="46" spans="1:21" ht="15" customHeight="1" x14ac:dyDescent="0.2">
      <c r="A46" s="22">
        <v>26</v>
      </c>
      <c r="B46" s="91" t="s">
        <v>321</v>
      </c>
      <c r="C46" s="92" t="s">
        <v>271</v>
      </c>
      <c r="D46" s="92" t="s">
        <v>275</v>
      </c>
      <c r="E46" s="92" t="s">
        <v>322</v>
      </c>
      <c r="F46" s="92" t="s">
        <v>227</v>
      </c>
      <c r="G46" s="62">
        <v>50.05</v>
      </c>
      <c r="H46" s="62"/>
      <c r="I46" s="62"/>
      <c r="J46" s="22" t="s">
        <v>265</v>
      </c>
      <c r="K46" s="62">
        <v>5</v>
      </c>
      <c r="L46" s="41">
        <f>VLOOKUP(K46,Reinigungstage!A10:D31,4,FALSE)</f>
        <v>186.75</v>
      </c>
      <c r="M46" s="41">
        <f t="shared" si="0"/>
        <v>9346.84</v>
      </c>
      <c r="N46" s="93"/>
      <c r="O46" s="41"/>
      <c r="P46" s="41">
        <f t="shared" si="1"/>
        <v>0</v>
      </c>
      <c r="Q46" s="41">
        <f t="shared" si="2"/>
        <v>0</v>
      </c>
      <c r="R46" s="41">
        <f t="shared" si="3"/>
        <v>0</v>
      </c>
      <c r="S46" s="41">
        <f t="shared" si="4"/>
        <v>0</v>
      </c>
      <c r="T46" s="4" t="str">
        <f t="shared" si="5"/>
        <v>Leistungswert eintragen</v>
      </c>
      <c r="U46" s="4">
        <f t="shared" si="6"/>
        <v>0</v>
      </c>
    </row>
    <row r="47" spans="1:21" ht="15" customHeight="1" x14ac:dyDescent="0.2">
      <c r="A47" s="22">
        <v>27</v>
      </c>
      <c r="B47" s="91" t="s">
        <v>323</v>
      </c>
      <c r="C47" s="92" t="s">
        <v>271</v>
      </c>
      <c r="D47" s="92" t="s">
        <v>275</v>
      </c>
      <c r="E47" s="92" t="s">
        <v>322</v>
      </c>
      <c r="F47" s="92" t="s">
        <v>227</v>
      </c>
      <c r="G47" s="62">
        <v>50.05</v>
      </c>
      <c r="H47" s="62"/>
      <c r="I47" s="62"/>
      <c r="J47" s="22" t="s">
        <v>265</v>
      </c>
      <c r="K47" s="62">
        <v>5</v>
      </c>
      <c r="L47" s="41">
        <f>VLOOKUP(K47,Reinigungstage!A10:D31,4,FALSE)</f>
        <v>186.75</v>
      </c>
      <c r="M47" s="41">
        <f t="shared" si="0"/>
        <v>9346.84</v>
      </c>
      <c r="N47" s="93"/>
      <c r="O47" s="41"/>
      <c r="P47" s="41">
        <f t="shared" si="1"/>
        <v>0</v>
      </c>
      <c r="Q47" s="41">
        <f t="shared" si="2"/>
        <v>0</v>
      </c>
      <c r="R47" s="41">
        <f t="shared" si="3"/>
        <v>0</v>
      </c>
      <c r="S47" s="41">
        <f t="shared" si="4"/>
        <v>0</v>
      </c>
      <c r="T47" s="4" t="str">
        <f t="shared" si="5"/>
        <v>Leistungswert eintragen</v>
      </c>
      <c r="U47" s="4">
        <f t="shared" si="6"/>
        <v>0</v>
      </c>
    </row>
    <row r="48" spans="1:21" ht="15" customHeight="1" x14ac:dyDescent="0.2">
      <c r="A48" s="22">
        <v>28</v>
      </c>
      <c r="B48" s="91" t="s">
        <v>324</v>
      </c>
      <c r="C48" s="92" t="s">
        <v>271</v>
      </c>
      <c r="D48" s="92" t="s">
        <v>275</v>
      </c>
      <c r="E48" s="92" t="s">
        <v>325</v>
      </c>
      <c r="F48" s="92" t="s">
        <v>287</v>
      </c>
      <c r="G48" s="62">
        <v>20.99</v>
      </c>
      <c r="H48" s="62"/>
      <c r="I48" s="62"/>
      <c r="J48" s="22" t="s">
        <v>264</v>
      </c>
      <c r="K48" s="62">
        <v>5</v>
      </c>
      <c r="L48" s="41">
        <f>VLOOKUP(K48,Reinigungstage!A10:D31,4,FALSE)</f>
        <v>186.75</v>
      </c>
      <c r="M48" s="41">
        <f t="shared" si="0"/>
        <v>3919.88</v>
      </c>
      <c r="N48" s="93"/>
      <c r="O48" s="41"/>
      <c r="P48" s="41">
        <f t="shared" si="1"/>
        <v>0</v>
      </c>
      <c r="Q48" s="41">
        <f t="shared" si="2"/>
        <v>0</v>
      </c>
      <c r="R48" s="41">
        <f t="shared" si="3"/>
        <v>0</v>
      </c>
      <c r="S48" s="41">
        <f t="shared" si="4"/>
        <v>0</v>
      </c>
      <c r="T48" s="4" t="str">
        <f t="shared" si="5"/>
        <v>Leistungswert eintragen</v>
      </c>
      <c r="U48" s="4">
        <f t="shared" si="6"/>
        <v>0</v>
      </c>
    </row>
    <row r="49" spans="1:21" ht="15" customHeight="1" x14ac:dyDescent="0.2">
      <c r="A49" s="22">
        <v>29</v>
      </c>
      <c r="B49" s="91" t="s">
        <v>326</v>
      </c>
      <c r="C49" s="92" t="s">
        <v>271</v>
      </c>
      <c r="D49" s="92" t="s">
        <v>275</v>
      </c>
      <c r="E49" s="92" t="s">
        <v>322</v>
      </c>
      <c r="F49" s="92" t="s">
        <v>227</v>
      </c>
      <c r="G49" s="62">
        <v>50.05</v>
      </c>
      <c r="H49" s="62"/>
      <c r="I49" s="62"/>
      <c r="J49" s="22" t="s">
        <v>265</v>
      </c>
      <c r="K49" s="62">
        <v>5</v>
      </c>
      <c r="L49" s="41">
        <f>VLOOKUP(K49,Reinigungstage!A10:D31,4,FALSE)</f>
        <v>186.75</v>
      </c>
      <c r="M49" s="41">
        <f t="shared" si="0"/>
        <v>9346.84</v>
      </c>
      <c r="N49" s="93"/>
      <c r="O49" s="41"/>
      <c r="P49" s="41">
        <f t="shared" si="1"/>
        <v>0</v>
      </c>
      <c r="Q49" s="41">
        <f t="shared" si="2"/>
        <v>0</v>
      </c>
      <c r="R49" s="41">
        <f t="shared" si="3"/>
        <v>0</v>
      </c>
      <c r="S49" s="41">
        <f t="shared" si="4"/>
        <v>0</v>
      </c>
      <c r="T49" s="4" t="str">
        <f t="shared" si="5"/>
        <v>Leistungswert eintragen</v>
      </c>
      <c r="U49" s="4">
        <f t="shared" si="6"/>
        <v>0</v>
      </c>
    </row>
    <row r="50" spans="1:21" ht="15" customHeight="1" x14ac:dyDescent="0.2">
      <c r="A50" s="22">
        <v>30</v>
      </c>
      <c r="B50" s="91" t="s">
        <v>327</v>
      </c>
      <c r="C50" s="92" t="s">
        <v>271</v>
      </c>
      <c r="D50" s="92" t="s">
        <v>275</v>
      </c>
      <c r="E50" s="92" t="s">
        <v>328</v>
      </c>
      <c r="F50" s="92" t="s">
        <v>287</v>
      </c>
      <c r="G50" s="62">
        <v>249.06</v>
      </c>
      <c r="H50" s="62"/>
      <c r="I50" s="62"/>
      <c r="J50" s="22" t="s">
        <v>264</v>
      </c>
      <c r="K50" s="62">
        <v>5</v>
      </c>
      <c r="L50" s="41">
        <f>VLOOKUP(K50,Reinigungstage!A10:D31,4,FALSE)</f>
        <v>186.75</v>
      </c>
      <c r="M50" s="41">
        <f t="shared" si="0"/>
        <v>46511.96</v>
      </c>
      <c r="N50" s="93"/>
      <c r="O50" s="41"/>
      <c r="P50" s="41">
        <f t="shared" si="1"/>
        <v>0</v>
      </c>
      <c r="Q50" s="41">
        <f t="shared" si="2"/>
        <v>0</v>
      </c>
      <c r="R50" s="41">
        <f t="shared" si="3"/>
        <v>0</v>
      </c>
      <c r="S50" s="41">
        <f t="shared" si="4"/>
        <v>0</v>
      </c>
      <c r="T50" s="4" t="str">
        <f t="shared" si="5"/>
        <v>Leistungswert eintragen</v>
      </c>
      <c r="U50" s="4">
        <f t="shared" si="6"/>
        <v>0</v>
      </c>
    </row>
    <row r="51" spans="1:21" ht="24.95" customHeight="1" x14ac:dyDescent="0.2">
      <c r="A51" s="22">
        <v>31</v>
      </c>
      <c r="B51" s="91" t="s">
        <v>329</v>
      </c>
      <c r="C51" s="92" t="s">
        <v>271</v>
      </c>
      <c r="D51" s="92" t="s">
        <v>275</v>
      </c>
      <c r="E51" s="92" t="s">
        <v>330</v>
      </c>
      <c r="F51" s="92" t="s">
        <v>227</v>
      </c>
      <c r="G51" s="62">
        <v>52.44</v>
      </c>
      <c r="H51" s="62"/>
      <c r="I51" s="62"/>
      <c r="J51" s="22" t="s">
        <v>265</v>
      </c>
      <c r="K51" s="62">
        <v>5</v>
      </c>
      <c r="L51" s="41">
        <f>VLOOKUP(K51,Reinigungstage!A10:D31,4,FALSE)</f>
        <v>186.75</v>
      </c>
      <c r="M51" s="41">
        <f t="shared" si="0"/>
        <v>9793.17</v>
      </c>
      <c r="N51" s="93"/>
      <c r="O51" s="41"/>
      <c r="P51" s="41">
        <f t="shared" si="1"/>
        <v>0</v>
      </c>
      <c r="Q51" s="41">
        <f t="shared" si="2"/>
        <v>0</v>
      </c>
      <c r="R51" s="41">
        <f t="shared" si="3"/>
        <v>0</v>
      </c>
      <c r="S51" s="41">
        <f t="shared" si="4"/>
        <v>0</v>
      </c>
      <c r="T51" s="4" t="str">
        <f t="shared" si="5"/>
        <v>Leistungswert eintragen</v>
      </c>
      <c r="U51" s="4">
        <f t="shared" si="6"/>
        <v>0</v>
      </c>
    </row>
    <row r="52" spans="1:21" ht="24.95" customHeight="1" x14ac:dyDescent="0.2">
      <c r="A52" s="22">
        <v>32</v>
      </c>
      <c r="B52" s="91" t="s">
        <v>331</v>
      </c>
      <c r="C52" s="92" t="s">
        <v>271</v>
      </c>
      <c r="D52" s="92" t="s">
        <v>275</v>
      </c>
      <c r="E52" s="92" t="s">
        <v>330</v>
      </c>
      <c r="F52" s="92" t="s">
        <v>227</v>
      </c>
      <c r="G52" s="62">
        <v>56.14</v>
      </c>
      <c r="H52" s="62"/>
      <c r="I52" s="62"/>
      <c r="J52" s="22" t="s">
        <v>265</v>
      </c>
      <c r="K52" s="62">
        <v>5</v>
      </c>
      <c r="L52" s="41">
        <f>VLOOKUP(K52,Reinigungstage!A10:D31,4,FALSE)</f>
        <v>186.75</v>
      </c>
      <c r="M52" s="41">
        <f t="shared" si="0"/>
        <v>10484.15</v>
      </c>
      <c r="N52" s="93"/>
      <c r="O52" s="41"/>
      <c r="P52" s="41">
        <f t="shared" si="1"/>
        <v>0</v>
      </c>
      <c r="Q52" s="41">
        <f t="shared" si="2"/>
        <v>0</v>
      </c>
      <c r="R52" s="41">
        <f t="shared" si="3"/>
        <v>0</v>
      </c>
      <c r="S52" s="41">
        <f t="shared" si="4"/>
        <v>0</v>
      </c>
      <c r="T52" s="4" t="str">
        <f t="shared" si="5"/>
        <v>Leistungswert eintragen</v>
      </c>
      <c r="U52" s="4">
        <f t="shared" si="6"/>
        <v>0</v>
      </c>
    </row>
    <row r="53" spans="1:21" ht="24.95" customHeight="1" x14ac:dyDescent="0.2">
      <c r="A53" s="22">
        <v>33</v>
      </c>
      <c r="B53" s="91" t="s">
        <v>332</v>
      </c>
      <c r="C53" s="92" t="s">
        <v>271</v>
      </c>
      <c r="D53" s="92" t="s">
        <v>275</v>
      </c>
      <c r="E53" s="92" t="s">
        <v>330</v>
      </c>
      <c r="F53" s="92" t="s">
        <v>227</v>
      </c>
      <c r="G53" s="62">
        <v>56.4</v>
      </c>
      <c r="H53" s="62"/>
      <c r="I53" s="62"/>
      <c r="J53" s="22" t="s">
        <v>265</v>
      </c>
      <c r="K53" s="62">
        <v>5</v>
      </c>
      <c r="L53" s="41">
        <f>VLOOKUP(K53,Reinigungstage!A10:D31,4,FALSE)</f>
        <v>186.75</v>
      </c>
      <c r="M53" s="41">
        <f t="shared" ref="M53:M84" si="7">ROUND(IF(L53=0,0,L53*G53),2)</f>
        <v>10532.7</v>
      </c>
      <c r="N53" s="93"/>
      <c r="O53" s="41"/>
      <c r="P53" s="41">
        <f t="shared" ref="P53:P84" si="8">ROUND(IF(N53=0,0,M53/N53),2)</f>
        <v>0</v>
      </c>
      <c r="Q53" s="41">
        <f t="shared" ref="Q53:Q84" si="9">IF(M53=0,0,IF(O53="",0,ROUND(P53*O53,2)))</f>
        <v>0</v>
      </c>
      <c r="R53" s="41">
        <f t="shared" ref="R53:R84" si="10">ROUND(IF(P53=0,0,P53/L53),2)</f>
        <v>0</v>
      </c>
      <c r="S53" s="41">
        <f t="shared" ref="S53:S84" si="11">ROUND(IF(Q53=0,0,Q53/L53),2)</f>
        <v>0</v>
      </c>
      <c r="T53" s="4" t="str">
        <f t="shared" ref="T53:T84" si="12">IF(M53=0,"",IF(N53=0,"Leistungswert eintragen",IF(O53=0,"SVS prüfen","")))</f>
        <v>Leistungswert eintragen</v>
      </c>
      <c r="U53" s="4">
        <f t="shared" ref="U53:U84" si="13">VLOOKUP(J53,$U$4:$V$12,2,FALSE)</f>
        <v>0</v>
      </c>
    </row>
    <row r="54" spans="1:21" ht="24.95" customHeight="1" x14ac:dyDescent="0.2">
      <c r="A54" s="22">
        <v>34</v>
      </c>
      <c r="B54" s="91" t="s">
        <v>333</v>
      </c>
      <c r="C54" s="92" t="s">
        <v>271</v>
      </c>
      <c r="D54" s="92" t="s">
        <v>275</v>
      </c>
      <c r="E54" s="92" t="s">
        <v>330</v>
      </c>
      <c r="F54" s="92" t="s">
        <v>227</v>
      </c>
      <c r="G54" s="62">
        <v>56.14</v>
      </c>
      <c r="H54" s="62"/>
      <c r="I54" s="62"/>
      <c r="J54" s="22" t="s">
        <v>265</v>
      </c>
      <c r="K54" s="62">
        <v>5</v>
      </c>
      <c r="L54" s="41">
        <f>VLOOKUP(K54,Reinigungstage!A10:D31,4,FALSE)</f>
        <v>186.75</v>
      </c>
      <c r="M54" s="41">
        <f t="shared" si="7"/>
        <v>10484.15</v>
      </c>
      <c r="N54" s="93"/>
      <c r="O54" s="41"/>
      <c r="P54" s="41">
        <f t="shared" si="8"/>
        <v>0</v>
      </c>
      <c r="Q54" s="41">
        <f t="shared" si="9"/>
        <v>0</v>
      </c>
      <c r="R54" s="41">
        <f t="shared" si="10"/>
        <v>0</v>
      </c>
      <c r="S54" s="41">
        <f t="shared" si="11"/>
        <v>0</v>
      </c>
      <c r="T54" s="4" t="str">
        <f t="shared" si="12"/>
        <v>Leistungswert eintragen</v>
      </c>
      <c r="U54" s="4">
        <f t="shared" si="13"/>
        <v>0</v>
      </c>
    </row>
    <row r="55" spans="1:21" ht="24.95" customHeight="1" x14ac:dyDescent="0.2">
      <c r="A55" s="22">
        <v>35</v>
      </c>
      <c r="B55" s="91" t="s">
        <v>334</v>
      </c>
      <c r="C55" s="92" t="s">
        <v>271</v>
      </c>
      <c r="D55" s="92" t="s">
        <v>275</v>
      </c>
      <c r="E55" s="92" t="s">
        <v>330</v>
      </c>
      <c r="F55" s="92" t="s">
        <v>227</v>
      </c>
      <c r="G55" s="62">
        <v>30.85</v>
      </c>
      <c r="H55" s="62"/>
      <c r="I55" s="62"/>
      <c r="J55" s="22" t="s">
        <v>265</v>
      </c>
      <c r="K55" s="62">
        <v>5</v>
      </c>
      <c r="L55" s="41">
        <f>VLOOKUP(K55,Reinigungstage!A10:D31,4,FALSE)</f>
        <v>186.75</v>
      </c>
      <c r="M55" s="41">
        <f t="shared" si="7"/>
        <v>5761.24</v>
      </c>
      <c r="N55" s="93"/>
      <c r="O55" s="41"/>
      <c r="P55" s="41">
        <f t="shared" si="8"/>
        <v>0</v>
      </c>
      <c r="Q55" s="41">
        <f t="shared" si="9"/>
        <v>0</v>
      </c>
      <c r="R55" s="41">
        <f t="shared" si="10"/>
        <v>0</v>
      </c>
      <c r="S55" s="41">
        <f t="shared" si="11"/>
        <v>0</v>
      </c>
      <c r="T55" s="4" t="str">
        <f t="shared" si="12"/>
        <v>Leistungswert eintragen</v>
      </c>
      <c r="U55" s="4">
        <f t="shared" si="13"/>
        <v>0</v>
      </c>
    </row>
    <row r="56" spans="1:21" ht="24.95" customHeight="1" x14ac:dyDescent="0.2">
      <c r="A56" s="22">
        <v>36</v>
      </c>
      <c r="B56" s="91" t="s">
        <v>335</v>
      </c>
      <c r="C56" s="92" t="s">
        <v>271</v>
      </c>
      <c r="D56" s="92" t="s">
        <v>275</v>
      </c>
      <c r="E56" s="92" t="s">
        <v>330</v>
      </c>
      <c r="F56" s="92" t="s">
        <v>227</v>
      </c>
      <c r="G56" s="62">
        <v>36.5</v>
      </c>
      <c r="H56" s="62"/>
      <c r="I56" s="62"/>
      <c r="J56" s="22" t="s">
        <v>265</v>
      </c>
      <c r="K56" s="62">
        <v>5</v>
      </c>
      <c r="L56" s="41">
        <f>VLOOKUP(K56,Reinigungstage!A10:D31,4,FALSE)</f>
        <v>186.75</v>
      </c>
      <c r="M56" s="41">
        <f t="shared" si="7"/>
        <v>6816.38</v>
      </c>
      <c r="N56" s="93"/>
      <c r="O56" s="41"/>
      <c r="P56" s="41">
        <f t="shared" si="8"/>
        <v>0</v>
      </c>
      <c r="Q56" s="41">
        <f t="shared" si="9"/>
        <v>0</v>
      </c>
      <c r="R56" s="41">
        <f t="shared" si="10"/>
        <v>0</v>
      </c>
      <c r="S56" s="41">
        <f t="shared" si="11"/>
        <v>0</v>
      </c>
      <c r="T56" s="4" t="str">
        <f t="shared" si="12"/>
        <v>Leistungswert eintragen</v>
      </c>
      <c r="U56" s="4">
        <f t="shared" si="13"/>
        <v>0</v>
      </c>
    </row>
    <row r="57" spans="1:21" ht="15" customHeight="1" x14ac:dyDescent="0.2">
      <c r="A57" s="22">
        <v>37</v>
      </c>
      <c r="B57" s="91" t="s">
        <v>336</v>
      </c>
      <c r="C57" s="92" t="s">
        <v>271</v>
      </c>
      <c r="D57" s="92" t="s">
        <v>275</v>
      </c>
      <c r="E57" s="92" t="s">
        <v>337</v>
      </c>
      <c r="F57" s="92" t="s">
        <v>287</v>
      </c>
      <c r="G57" s="62">
        <v>120.45</v>
      </c>
      <c r="H57" s="62"/>
      <c r="I57" s="62"/>
      <c r="J57" s="22" t="s">
        <v>264</v>
      </c>
      <c r="K57" s="62">
        <v>5</v>
      </c>
      <c r="L57" s="41">
        <f>VLOOKUP(K57,Reinigungstage!A10:D31,4,FALSE)</f>
        <v>186.75</v>
      </c>
      <c r="M57" s="41">
        <f t="shared" si="7"/>
        <v>22494.04</v>
      </c>
      <c r="N57" s="93"/>
      <c r="O57" s="41"/>
      <c r="P57" s="41">
        <f t="shared" si="8"/>
        <v>0</v>
      </c>
      <c r="Q57" s="41">
        <f t="shared" si="9"/>
        <v>0</v>
      </c>
      <c r="R57" s="41">
        <f t="shared" si="10"/>
        <v>0</v>
      </c>
      <c r="S57" s="41">
        <f t="shared" si="11"/>
        <v>0</v>
      </c>
      <c r="T57" s="4" t="str">
        <f t="shared" si="12"/>
        <v>Leistungswert eintragen</v>
      </c>
      <c r="U57" s="4">
        <f t="shared" si="13"/>
        <v>0</v>
      </c>
    </row>
    <row r="58" spans="1:21" ht="15" customHeight="1" x14ac:dyDescent="0.2">
      <c r="A58" s="22">
        <v>38</v>
      </c>
      <c r="B58" s="91" t="s">
        <v>338</v>
      </c>
      <c r="C58" s="92" t="s">
        <v>271</v>
      </c>
      <c r="D58" s="92" t="s">
        <v>275</v>
      </c>
      <c r="E58" s="92" t="s">
        <v>339</v>
      </c>
      <c r="F58" s="92" t="s">
        <v>227</v>
      </c>
      <c r="G58" s="62">
        <v>75.180000000000007</v>
      </c>
      <c r="H58" s="62"/>
      <c r="I58" s="62"/>
      <c r="J58" s="22" t="s">
        <v>265</v>
      </c>
      <c r="K58" s="62">
        <v>5</v>
      </c>
      <c r="L58" s="41">
        <f>VLOOKUP(K58,Reinigungstage!A10:D31,4,FALSE)</f>
        <v>186.75</v>
      </c>
      <c r="M58" s="41">
        <f t="shared" si="7"/>
        <v>14039.87</v>
      </c>
      <c r="N58" s="93"/>
      <c r="O58" s="41"/>
      <c r="P58" s="41">
        <f t="shared" si="8"/>
        <v>0</v>
      </c>
      <c r="Q58" s="41">
        <f t="shared" si="9"/>
        <v>0</v>
      </c>
      <c r="R58" s="41">
        <f t="shared" si="10"/>
        <v>0</v>
      </c>
      <c r="S58" s="41">
        <f t="shared" si="11"/>
        <v>0</v>
      </c>
      <c r="T58" s="4" t="str">
        <f t="shared" si="12"/>
        <v>Leistungswert eintragen</v>
      </c>
      <c r="U58" s="4">
        <f t="shared" si="13"/>
        <v>0</v>
      </c>
    </row>
    <row r="59" spans="1:21" ht="15" customHeight="1" x14ac:dyDescent="0.2">
      <c r="A59" s="22">
        <v>39</v>
      </c>
      <c r="B59" s="91" t="s">
        <v>340</v>
      </c>
      <c r="C59" s="92" t="s">
        <v>271</v>
      </c>
      <c r="D59" s="92" t="s">
        <v>275</v>
      </c>
      <c r="E59" s="92" t="s">
        <v>341</v>
      </c>
      <c r="F59" s="92" t="s">
        <v>287</v>
      </c>
      <c r="G59" s="62">
        <v>79.349999999999994</v>
      </c>
      <c r="H59" s="62"/>
      <c r="I59" s="62"/>
      <c r="J59" s="22" t="s">
        <v>270</v>
      </c>
      <c r="K59" s="62">
        <v>5</v>
      </c>
      <c r="L59" s="41">
        <f>VLOOKUP(K59,Reinigungstage!A10:D31,4,FALSE)</f>
        <v>186.75</v>
      </c>
      <c r="M59" s="41">
        <f t="shared" si="7"/>
        <v>14818.61</v>
      </c>
      <c r="N59" s="93"/>
      <c r="O59" s="41"/>
      <c r="P59" s="41">
        <f t="shared" si="8"/>
        <v>0</v>
      </c>
      <c r="Q59" s="41">
        <f t="shared" si="9"/>
        <v>0</v>
      </c>
      <c r="R59" s="41">
        <f t="shared" si="10"/>
        <v>0</v>
      </c>
      <c r="S59" s="41">
        <f t="shared" si="11"/>
        <v>0</v>
      </c>
      <c r="T59" s="4" t="str">
        <f t="shared" si="12"/>
        <v>Leistungswert eintragen</v>
      </c>
      <c r="U59" s="4">
        <f t="shared" si="13"/>
        <v>0</v>
      </c>
    </row>
    <row r="60" spans="1:21" ht="15" customHeight="1" x14ac:dyDescent="0.2">
      <c r="A60" s="22">
        <v>40</v>
      </c>
      <c r="B60" s="91" t="s">
        <v>342</v>
      </c>
      <c r="C60" s="92" t="s">
        <v>271</v>
      </c>
      <c r="D60" s="92" t="s">
        <v>275</v>
      </c>
      <c r="E60" s="92" t="s">
        <v>343</v>
      </c>
      <c r="F60" s="92" t="s">
        <v>227</v>
      </c>
      <c r="G60" s="62">
        <v>77.3</v>
      </c>
      <c r="H60" s="62"/>
      <c r="I60" s="62"/>
      <c r="J60" s="22" t="s">
        <v>265</v>
      </c>
      <c r="K60" s="62">
        <v>5</v>
      </c>
      <c r="L60" s="41">
        <f>VLOOKUP(K60,Reinigungstage!A10:D31,4,FALSE)</f>
        <v>186.75</v>
      </c>
      <c r="M60" s="41">
        <f t="shared" si="7"/>
        <v>14435.78</v>
      </c>
      <c r="N60" s="93"/>
      <c r="O60" s="41"/>
      <c r="P60" s="41">
        <f t="shared" si="8"/>
        <v>0</v>
      </c>
      <c r="Q60" s="41">
        <f t="shared" si="9"/>
        <v>0</v>
      </c>
      <c r="R60" s="41">
        <f t="shared" si="10"/>
        <v>0</v>
      </c>
      <c r="S60" s="41">
        <f t="shared" si="11"/>
        <v>0</v>
      </c>
      <c r="T60" s="4" t="str">
        <f t="shared" si="12"/>
        <v>Leistungswert eintragen</v>
      </c>
      <c r="U60" s="4">
        <f t="shared" si="13"/>
        <v>0</v>
      </c>
    </row>
    <row r="61" spans="1:21" ht="15" customHeight="1" x14ac:dyDescent="0.2">
      <c r="A61" s="22">
        <v>41</v>
      </c>
      <c r="B61" s="91" t="s">
        <v>344</v>
      </c>
      <c r="C61" s="92" t="s">
        <v>271</v>
      </c>
      <c r="D61" s="92" t="s">
        <v>275</v>
      </c>
      <c r="E61" s="92" t="s">
        <v>345</v>
      </c>
      <c r="F61" s="92" t="s">
        <v>227</v>
      </c>
      <c r="G61" s="62">
        <v>77.3</v>
      </c>
      <c r="H61" s="62"/>
      <c r="I61" s="62"/>
      <c r="J61" s="22" t="s">
        <v>265</v>
      </c>
      <c r="K61" s="62">
        <v>5</v>
      </c>
      <c r="L61" s="41">
        <f>VLOOKUP(K61,Reinigungstage!A10:D31,4,FALSE)</f>
        <v>186.75</v>
      </c>
      <c r="M61" s="41">
        <f t="shared" si="7"/>
        <v>14435.78</v>
      </c>
      <c r="N61" s="93"/>
      <c r="O61" s="41"/>
      <c r="P61" s="41">
        <f t="shared" si="8"/>
        <v>0</v>
      </c>
      <c r="Q61" s="41">
        <f t="shared" si="9"/>
        <v>0</v>
      </c>
      <c r="R61" s="41">
        <f t="shared" si="10"/>
        <v>0</v>
      </c>
      <c r="S61" s="41">
        <f t="shared" si="11"/>
        <v>0</v>
      </c>
      <c r="T61" s="4" t="str">
        <f t="shared" si="12"/>
        <v>Leistungswert eintragen</v>
      </c>
      <c r="U61" s="4">
        <f t="shared" si="13"/>
        <v>0</v>
      </c>
    </row>
    <row r="62" spans="1:21" ht="15" customHeight="1" x14ac:dyDescent="0.2">
      <c r="A62" s="22">
        <v>42</v>
      </c>
      <c r="B62" s="91" t="s">
        <v>346</v>
      </c>
      <c r="C62" s="92" t="s">
        <v>271</v>
      </c>
      <c r="D62" s="92" t="s">
        <v>275</v>
      </c>
      <c r="E62" s="92" t="s">
        <v>347</v>
      </c>
      <c r="F62" s="92" t="s">
        <v>287</v>
      </c>
      <c r="G62" s="62">
        <v>69.19</v>
      </c>
      <c r="H62" s="62"/>
      <c r="I62" s="62"/>
      <c r="J62" s="22" t="s">
        <v>270</v>
      </c>
      <c r="K62" s="62">
        <v>5</v>
      </c>
      <c r="L62" s="41">
        <f>VLOOKUP(K62,Reinigungstage!A10:D31,4,FALSE)</f>
        <v>186.75</v>
      </c>
      <c r="M62" s="41">
        <f t="shared" si="7"/>
        <v>12921.23</v>
      </c>
      <c r="N62" s="93"/>
      <c r="O62" s="41"/>
      <c r="P62" s="41">
        <f t="shared" si="8"/>
        <v>0</v>
      </c>
      <c r="Q62" s="41">
        <f t="shared" si="9"/>
        <v>0</v>
      </c>
      <c r="R62" s="41">
        <f t="shared" si="10"/>
        <v>0</v>
      </c>
      <c r="S62" s="41">
        <f t="shared" si="11"/>
        <v>0</v>
      </c>
      <c r="T62" s="4" t="str">
        <f t="shared" si="12"/>
        <v>Leistungswert eintragen</v>
      </c>
      <c r="U62" s="4">
        <f t="shared" si="13"/>
        <v>0</v>
      </c>
    </row>
    <row r="63" spans="1:21" ht="15" customHeight="1" x14ac:dyDescent="0.2">
      <c r="A63" s="22">
        <v>43</v>
      </c>
      <c r="B63" s="91" t="s">
        <v>348</v>
      </c>
      <c r="C63" s="92" t="s">
        <v>271</v>
      </c>
      <c r="D63" s="92" t="s">
        <v>275</v>
      </c>
      <c r="E63" s="92" t="s">
        <v>349</v>
      </c>
      <c r="F63" s="92" t="s">
        <v>227</v>
      </c>
      <c r="G63" s="62">
        <v>77.3</v>
      </c>
      <c r="H63" s="62"/>
      <c r="I63" s="62"/>
      <c r="J63" s="22" t="s">
        <v>266</v>
      </c>
      <c r="K63" s="62">
        <v>1</v>
      </c>
      <c r="L63" s="41">
        <v>56</v>
      </c>
      <c r="M63" s="41">
        <f t="shared" si="7"/>
        <v>4328.8</v>
      </c>
      <c r="N63" s="93"/>
      <c r="O63" s="41"/>
      <c r="P63" s="41">
        <f t="shared" si="8"/>
        <v>0</v>
      </c>
      <c r="Q63" s="41">
        <f t="shared" si="9"/>
        <v>0</v>
      </c>
      <c r="R63" s="41">
        <f t="shared" si="10"/>
        <v>0</v>
      </c>
      <c r="S63" s="41">
        <f t="shared" si="11"/>
        <v>0</v>
      </c>
      <c r="T63" s="4" t="str">
        <f t="shared" si="12"/>
        <v>Leistungswert eintragen</v>
      </c>
      <c r="U63" s="4">
        <f t="shared" si="13"/>
        <v>0</v>
      </c>
    </row>
    <row r="64" spans="1:21" ht="15" customHeight="1" x14ac:dyDescent="0.2">
      <c r="A64" s="22">
        <v>44</v>
      </c>
      <c r="B64" s="91" t="s">
        <v>350</v>
      </c>
      <c r="C64" s="92" t="s">
        <v>271</v>
      </c>
      <c r="D64" s="92" t="s">
        <v>275</v>
      </c>
      <c r="E64" s="92" t="s">
        <v>349</v>
      </c>
      <c r="F64" s="92" t="s">
        <v>227</v>
      </c>
      <c r="G64" s="62">
        <v>77.3</v>
      </c>
      <c r="H64" s="62"/>
      <c r="I64" s="62"/>
      <c r="J64" s="22" t="s">
        <v>266</v>
      </c>
      <c r="K64" s="62">
        <v>1</v>
      </c>
      <c r="L64" s="41">
        <f>VLOOKUP(K64,Reinigungstage!A10:D31,4,FALSE)</f>
        <v>38.79</v>
      </c>
      <c r="M64" s="41">
        <f t="shared" si="7"/>
        <v>2998.47</v>
      </c>
      <c r="N64" s="93"/>
      <c r="O64" s="41"/>
      <c r="P64" s="41">
        <f t="shared" si="8"/>
        <v>0</v>
      </c>
      <c r="Q64" s="41">
        <f t="shared" si="9"/>
        <v>0</v>
      </c>
      <c r="R64" s="41">
        <f t="shared" si="10"/>
        <v>0</v>
      </c>
      <c r="S64" s="41">
        <f t="shared" si="11"/>
        <v>0</v>
      </c>
      <c r="T64" s="4" t="str">
        <f t="shared" si="12"/>
        <v>Leistungswert eintragen</v>
      </c>
      <c r="U64" s="4">
        <f t="shared" si="13"/>
        <v>0</v>
      </c>
    </row>
    <row r="65" spans="1:21" ht="15" customHeight="1" x14ac:dyDescent="0.2">
      <c r="A65" s="22">
        <v>45</v>
      </c>
      <c r="B65" s="91" t="s">
        <v>351</v>
      </c>
      <c r="C65" s="92" t="s">
        <v>271</v>
      </c>
      <c r="D65" s="92" t="s">
        <v>275</v>
      </c>
      <c r="E65" s="92" t="s">
        <v>226</v>
      </c>
      <c r="F65" s="92" t="s">
        <v>287</v>
      </c>
      <c r="G65" s="62">
        <v>29.05</v>
      </c>
      <c r="H65" s="62"/>
      <c r="I65" s="62"/>
      <c r="J65" s="22" t="s">
        <v>264</v>
      </c>
      <c r="K65" s="62">
        <v>5</v>
      </c>
      <c r="L65" s="41">
        <f>VLOOKUP(K65,Reinigungstage!A10:D31,4,FALSE)</f>
        <v>186.75</v>
      </c>
      <c r="M65" s="41">
        <f t="shared" si="7"/>
        <v>5425.09</v>
      </c>
      <c r="N65" s="93"/>
      <c r="O65" s="41"/>
      <c r="P65" s="41">
        <f t="shared" si="8"/>
        <v>0</v>
      </c>
      <c r="Q65" s="41">
        <f t="shared" si="9"/>
        <v>0</v>
      </c>
      <c r="R65" s="41">
        <f t="shared" si="10"/>
        <v>0</v>
      </c>
      <c r="S65" s="41">
        <f t="shared" si="11"/>
        <v>0</v>
      </c>
      <c r="T65" s="4" t="str">
        <f t="shared" si="12"/>
        <v>Leistungswert eintragen</v>
      </c>
      <c r="U65" s="4">
        <f t="shared" si="13"/>
        <v>0</v>
      </c>
    </row>
    <row r="66" spans="1:21" ht="15" customHeight="1" x14ac:dyDescent="0.2">
      <c r="A66" s="22">
        <v>46</v>
      </c>
      <c r="B66" s="91" t="s">
        <v>352</v>
      </c>
      <c r="C66" s="92" t="s">
        <v>271</v>
      </c>
      <c r="D66" s="92" t="s">
        <v>275</v>
      </c>
      <c r="E66" s="92" t="s">
        <v>353</v>
      </c>
      <c r="F66" s="92" t="s">
        <v>227</v>
      </c>
      <c r="G66" s="62">
        <v>75.28</v>
      </c>
      <c r="H66" s="62"/>
      <c r="I66" s="62"/>
      <c r="J66" s="22" t="s">
        <v>265</v>
      </c>
      <c r="K66" s="62">
        <v>5</v>
      </c>
      <c r="L66" s="41">
        <f>VLOOKUP(K66,Reinigungstage!A10:D31,4,FALSE)</f>
        <v>186.75</v>
      </c>
      <c r="M66" s="41">
        <f t="shared" si="7"/>
        <v>14058.54</v>
      </c>
      <c r="N66" s="93"/>
      <c r="O66" s="41"/>
      <c r="P66" s="41">
        <f t="shared" si="8"/>
        <v>0</v>
      </c>
      <c r="Q66" s="41">
        <f t="shared" si="9"/>
        <v>0</v>
      </c>
      <c r="R66" s="41">
        <f t="shared" si="10"/>
        <v>0</v>
      </c>
      <c r="S66" s="41">
        <f t="shared" si="11"/>
        <v>0</v>
      </c>
      <c r="T66" s="4" t="str">
        <f t="shared" si="12"/>
        <v>Leistungswert eintragen</v>
      </c>
      <c r="U66" s="4">
        <f t="shared" si="13"/>
        <v>0</v>
      </c>
    </row>
    <row r="67" spans="1:21" ht="15" customHeight="1" x14ac:dyDescent="0.2">
      <c r="A67" s="22">
        <v>47</v>
      </c>
      <c r="B67" s="91" t="s">
        <v>354</v>
      </c>
      <c r="C67" s="92" t="s">
        <v>355</v>
      </c>
      <c r="D67" s="92" t="s">
        <v>275</v>
      </c>
      <c r="E67" s="92" t="s">
        <v>356</v>
      </c>
      <c r="F67" s="92" t="s">
        <v>227</v>
      </c>
      <c r="G67" s="62">
        <v>78.89</v>
      </c>
      <c r="H67" s="62"/>
      <c r="I67" s="62"/>
      <c r="J67" s="22" t="s">
        <v>265</v>
      </c>
      <c r="K67" s="62">
        <v>5</v>
      </c>
      <c r="L67" s="41">
        <f>VLOOKUP(K67,Reinigungstage!A10:D31,4,FALSE)</f>
        <v>186.75</v>
      </c>
      <c r="M67" s="41">
        <f t="shared" si="7"/>
        <v>14732.71</v>
      </c>
      <c r="N67" s="93"/>
      <c r="O67" s="41"/>
      <c r="P67" s="41">
        <f t="shared" si="8"/>
        <v>0</v>
      </c>
      <c r="Q67" s="41">
        <f t="shared" si="9"/>
        <v>0</v>
      </c>
      <c r="R67" s="41">
        <f t="shared" si="10"/>
        <v>0</v>
      </c>
      <c r="S67" s="41">
        <f t="shared" si="11"/>
        <v>0</v>
      </c>
      <c r="T67" s="4" t="str">
        <f t="shared" si="12"/>
        <v>Leistungswert eintragen</v>
      </c>
      <c r="U67" s="4">
        <f t="shared" si="13"/>
        <v>0</v>
      </c>
    </row>
    <row r="68" spans="1:21" ht="15" customHeight="1" x14ac:dyDescent="0.2">
      <c r="A68" s="22">
        <v>48</v>
      </c>
      <c r="B68" s="91" t="s">
        <v>357</v>
      </c>
      <c r="C68" s="92" t="s">
        <v>355</v>
      </c>
      <c r="D68" s="92" t="s">
        <v>275</v>
      </c>
      <c r="E68" s="92" t="s">
        <v>358</v>
      </c>
      <c r="F68" s="92" t="s">
        <v>227</v>
      </c>
      <c r="G68" s="62">
        <v>66.8</v>
      </c>
      <c r="H68" s="62"/>
      <c r="I68" s="62"/>
      <c r="J68" s="22" t="s">
        <v>265</v>
      </c>
      <c r="K68" s="62">
        <v>5</v>
      </c>
      <c r="L68" s="41">
        <f>VLOOKUP(K68,Reinigungstage!A10:D31,4,FALSE)</f>
        <v>186.75</v>
      </c>
      <c r="M68" s="41">
        <f t="shared" si="7"/>
        <v>12474.9</v>
      </c>
      <c r="N68" s="93"/>
      <c r="O68" s="41"/>
      <c r="P68" s="41">
        <f t="shared" si="8"/>
        <v>0</v>
      </c>
      <c r="Q68" s="41">
        <f t="shared" si="9"/>
        <v>0</v>
      </c>
      <c r="R68" s="41">
        <f t="shared" si="10"/>
        <v>0</v>
      </c>
      <c r="S68" s="41">
        <f t="shared" si="11"/>
        <v>0</v>
      </c>
      <c r="T68" s="4" t="str">
        <f t="shared" si="12"/>
        <v>Leistungswert eintragen</v>
      </c>
      <c r="U68" s="4">
        <f t="shared" si="13"/>
        <v>0</v>
      </c>
    </row>
    <row r="69" spans="1:21" ht="24.95" customHeight="1" x14ac:dyDescent="0.2">
      <c r="A69" s="22">
        <v>49</v>
      </c>
      <c r="B69" s="91" t="s">
        <v>359</v>
      </c>
      <c r="C69" s="92" t="s">
        <v>355</v>
      </c>
      <c r="D69" s="92" t="s">
        <v>275</v>
      </c>
      <c r="E69" s="92" t="s">
        <v>580</v>
      </c>
      <c r="F69" s="92" t="s">
        <v>227</v>
      </c>
      <c r="G69" s="62">
        <v>20.95</v>
      </c>
      <c r="H69" s="62"/>
      <c r="I69" s="62"/>
      <c r="J69" s="22" t="s">
        <v>266</v>
      </c>
      <c r="K69" s="62">
        <v>1</v>
      </c>
      <c r="L69" s="41">
        <f>VLOOKUP(K69,Reinigungstage!A10:D31,4,FALSE)</f>
        <v>38.79</v>
      </c>
      <c r="M69" s="41">
        <f t="shared" si="7"/>
        <v>812.65</v>
      </c>
      <c r="N69" s="93"/>
      <c r="O69" s="41"/>
      <c r="P69" s="41">
        <f t="shared" si="8"/>
        <v>0</v>
      </c>
      <c r="Q69" s="41">
        <f t="shared" si="9"/>
        <v>0</v>
      </c>
      <c r="R69" s="41">
        <f t="shared" si="10"/>
        <v>0</v>
      </c>
      <c r="S69" s="41">
        <f t="shared" si="11"/>
        <v>0</v>
      </c>
      <c r="T69" s="4" t="str">
        <f t="shared" si="12"/>
        <v>Leistungswert eintragen</v>
      </c>
      <c r="U69" s="4">
        <f t="shared" si="13"/>
        <v>0</v>
      </c>
    </row>
    <row r="70" spans="1:21" ht="15" customHeight="1" x14ac:dyDescent="0.2">
      <c r="A70" s="22">
        <v>50</v>
      </c>
      <c r="B70" s="91" t="s">
        <v>360</v>
      </c>
      <c r="C70" s="92" t="s">
        <v>355</v>
      </c>
      <c r="D70" s="92" t="s">
        <v>275</v>
      </c>
      <c r="E70" s="92" t="s">
        <v>361</v>
      </c>
      <c r="F70" s="92" t="s">
        <v>227</v>
      </c>
      <c r="G70" s="62">
        <v>14.41</v>
      </c>
      <c r="H70" s="62"/>
      <c r="I70" s="62"/>
      <c r="J70" s="22" t="s">
        <v>266</v>
      </c>
      <c r="K70" s="62">
        <v>1</v>
      </c>
      <c r="L70" s="41">
        <f>VLOOKUP(K70,Reinigungstage!A10:D31,4,FALSE)</f>
        <v>38.79</v>
      </c>
      <c r="M70" s="41">
        <f t="shared" si="7"/>
        <v>558.96</v>
      </c>
      <c r="N70" s="93"/>
      <c r="O70" s="41"/>
      <c r="P70" s="41">
        <f t="shared" si="8"/>
        <v>0</v>
      </c>
      <c r="Q70" s="41">
        <f t="shared" si="9"/>
        <v>0</v>
      </c>
      <c r="R70" s="41">
        <f t="shared" si="10"/>
        <v>0</v>
      </c>
      <c r="S70" s="41">
        <f t="shared" si="11"/>
        <v>0</v>
      </c>
      <c r="T70" s="4" t="str">
        <f t="shared" si="12"/>
        <v>Leistungswert eintragen</v>
      </c>
      <c r="U70" s="4">
        <f t="shared" si="13"/>
        <v>0</v>
      </c>
    </row>
    <row r="71" spans="1:21" ht="15" customHeight="1" x14ac:dyDescent="0.2">
      <c r="A71" s="22">
        <v>51</v>
      </c>
      <c r="B71" s="91" t="s">
        <v>362</v>
      </c>
      <c r="C71" s="92" t="s">
        <v>355</v>
      </c>
      <c r="D71" s="92" t="s">
        <v>275</v>
      </c>
      <c r="E71" s="92" t="s">
        <v>363</v>
      </c>
      <c r="F71" s="92" t="s">
        <v>227</v>
      </c>
      <c r="G71" s="62">
        <v>28.5</v>
      </c>
      <c r="H71" s="62"/>
      <c r="I71" s="62"/>
      <c r="J71" s="22" t="s">
        <v>265</v>
      </c>
      <c r="K71" s="62">
        <v>5</v>
      </c>
      <c r="L71" s="41">
        <f>VLOOKUP(K71,Reinigungstage!A10:D31,4,FALSE)</f>
        <v>186.75</v>
      </c>
      <c r="M71" s="41">
        <f t="shared" si="7"/>
        <v>5322.38</v>
      </c>
      <c r="N71" s="93"/>
      <c r="O71" s="41"/>
      <c r="P71" s="41">
        <f t="shared" si="8"/>
        <v>0</v>
      </c>
      <c r="Q71" s="41">
        <f t="shared" si="9"/>
        <v>0</v>
      </c>
      <c r="R71" s="41">
        <f t="shared" si="10"/>
        <v>0</v>
      </c>
      <c r="S71" s="41">
        <f t="shared" si="11"/>
        <v>0</v>
      </c>
      <c r="T71" s="4" t="str">
        <f t="shared" si="12"/>
        <v>Leistungswert eintragen</v>
      </c>
      <c r="U71" s="4">
        <f t="shared" si="13"/>
        <v>0</v>
      </c>
    </row>
    <row r="72" spans="1:21" ht="15" customHeight="1" x14ac:dyDescent="0.2">
      <c r="A72" s="22">
        <v>52</v>
      </c>
      <c r="B72" s="91" t="s">
        <v>364</v>
      </c>
      <c r="C72" s="92" t="s">
        <v>355</v>
      </c>
      <c r="D72" s="92" t="s">
        <v>275</v>
      </c>
      <c r="E72" s="92" t="s">
        <v>235</v>
      </c>
      <c r="F72" s="92" t="s">
        <v>287</v>
      </c>
      <c r="G72" s="62">
        <v>15.07</v>
      </c>
      <c r="H72" s="62"/>
      <c r="I72" s="62"/>
      <c r="J72" s="22" t="s">
        <v>267</v>
      </c>
      <c r="K72" s="62">
        <v>5</v>
      </c>
      <c r="L72" s="41">
        <f>VLOOKUP(K72,Reinigungstage!A10:D31,4,FALSE)</f>
        <v>186.75</v>
      </c>
      <c r="M72" s="41">
        <f t="shared" si="7"/>
        <v>2814.32</v>
      </c>
      <c r="N72" s="93"/>
      <c r="O72" s="41"/>
      <c r="P72" s="41">
        <f t="shared" si="8"/>
        <v>0</v>
      </c>
      <c r="Q72" s="41">
        <f t="shared" si="9"/>
        <v>0</v>
      </c>
      <c r="R72" s="41">
        <f t="shared" si="10"/>
        <v>0</v>
      </c>
      <c r="S72" s="41">
        <f t="shared" si="11"/>
        <v>0</v>
      </c>
      <c r="T72" s="4" t="str">
        <f t="shared" si="12"/>
        <v>Leistungswert eintragen</v>
      </c>
      <c r="U72" s="4">
        <f t="shared" si="13"/>
        <v>0</v>
      </c>
    </row>
    <row r="73" spans="1:21" ht="15" customHeight="1" x14ac:dyDescent="0.2">
      <c r="A73" s="22">
        <v>53</v>
      </c>
      <c r="B73" s="91" t="s">
        <v>365</v>
      </c>
      <c r="C73" s="92" t="s">
        <v>355</v>
      </c>
      <c r="D73" s="92" t="s">
        <v>275</v>
      </c>
      <c r="E73" s="92" t="s">
        <v>366</v>
      </c>
      <c r="F73" s="92" t="s">
        <v>227</v>
      </c>
      <c r="G73" s="62">
        <v>87.5</v>
      </c>
      <c r="H73" s="62"/>
      <c r="I73" s="62"/>
      <c r="J73" s="22" t="s">
        <v>264</v>
      </c>
      <c r="K73" s="62">
        <v>5</v>
      </c>
      <c r="L73" s="41">
        <f>VLOOKUP(K73,Reinigungstage!A10:D31,4,FALSE)</f>
        <v>186.75</v>
      </c>
      <c r="M73" s="41">
        <f t="shared" si="7"/>
        <v>16340.63</v>
      </c>
      <c r="N73" s="93"/>
      <c r="O73" s="41"/>
      <c r="P73" s="41">
        <f t="shared" si="8"/>
        <v>0</v>
      </c>
      <c r="Q73" s="41">
        <f t="shared" si="9"/>
        <v>0</v>
      </c>
      <c r="R73" s="41">
        <f t="shared" si="10"/>
        <v>0</v>
      </c>
      <c r="S73" s="41">
        <f t="shared" si="11"/>
        <v>0</v>
      </c>
      <c r="T73" s="4" t="str">
        <f t="shared" si="12"/>
        <v>Leistungswert eintragen</v>
      </c>
      <c r="U73" s="4">
        <f t="shared" si="13"/>
        <v>0</v>
      </c>
    </row>
    <row r="74" spans="1:21" ht="10.5" x14ac:dyDescent="0.2">
      <c r="A74" s="22">
        <v>54</v>
      </c>
      <c r="B74" s="91" t="s">
        <v>367</v>
      </c>
      <c r="C74" s="92" t="s">
        <v>355</v>
      </c>
      <c r="D74" s="92" t="s">
        <v>275</v>
      </c>
      <c r="E74" s="92" t="s">
        <v>293</v>
      </c>
      <c r="F74" s="92" t="s">
        <v>287</v>
      </c>
      <c r="G74" s="62">
        <v>18.28</v>
      </c>
      <c r="H74" s="62"/>
      <c r="I74" s="62"/>
      <c r="J74" s="22" t="s">
        <v>270</v>
      </c>
      <c r="K74" s="62">
        <v>5</v>
      </c>
      <c r="L74" s="41">
        <f>VLOOKUP(K74,Reinigungstage!A10:D31,4,FALSE)</f>
        <v>186.75</v>
      </c>
      <c r="M74" s="41">
        <f t="shared" si="7"/>
        <v>3413.79</v>
      </c>
      <c r="N74" s="93"/>
      <c r="O74" s="41"/>
      <c r="P74" s="41">
        <f t="shared" si="8"/>
        <v>0</v>
      </c>
      <c r="Q74" s="41">
        <f t="shared" si="9"/>
        <v>0</v>
      </c>
      <c r="R74" s="41">
        <f t="shared" si="10"/>
        <v>0</v>
      </c>
      <c r="S74" s="41">
        <f t="shared" si="11"/>
        <v>0</v>
      </c>
      <c r="T74" s="4" t="str">
        <f t="shared" si="12"/>
        <v>Leistungswert eintragen</v>
      </c>
      <c r="U74" s="4">
        <f t="shared" si="13"/>
        <v>0</v>
      </c>
    </row>
    <row r="75" spans="1:21" ht="15" customHeight="1" x14ac:dyDescent="0.2">
      <c r="A75" s="22">
        <v>55</v>
      </c>
      <c r="B75" s="91" t="s">
        <v>368</v>
      </c>
      <c r="C75" s="92" t="s">
        <v>355</v>
      </c>
      <c r="D75" s="92" t="s">
        <v>275</v>
      </c>
      <c r="E75" s="92" t="s">
        <v>369</v>
      </c>
      <c r="F75" s="92" t="s">
        <v>287</v>
      </c>
      <c r="G75" s="62">
        <v>15.07</v>
      </c>
      <c r="H75" s="62"/>
      <c r="I75" s="62"/>
      <c r="J75" s="22" t="s">
        <v>267</v>
      </c>
      <c r="K75" s="62">
        <v>5</v>
      </c>
      <c r="L75" s="41">
        <f>VLOOKUP(K75,Reinigungstage!A10:D31,4,FALSE)</f>
        <v>186.75</v>
      </c>
      <c r="M75" s="41">
        <f t="shared" si="7"/>
        <v>2814.32</v>
      </c>
      <c r="N75" s="93"/>
      <c r="O75" s="41"/>
      <c r="P75" s="41">
        <f t="shared" si="8"/>
        <v>0</v>
      </c>
      <c r="Q75" s="41">
        <f t="shared" si="9"/>
        <v>0</v>
      </c>
      <c r="R75" s="41">
        <f t="shared" si="10"/>
        <v>0</v>
      </c>
      <c r="S75" s="41">
        <f t="shared" si="11"/>
        <v>0</v>
      </c>
      <c r="T75" s="4" t="str">
        <f t="shared" si="12"/>
        <v>Leistungswert eintragen</v>
      </c>
      <c r="U75" s="4">
        <f t="shared" si="13"/>
        <v>0</v>
      </c>
    </row>
    <row r="76" spans="1:21" ht="15" customHeight="1" x14ac:dyDescent="0.2">
      <c r="A76" s="22">
        <v>56</v>
      </c>
      <c r="B76" s="91" t="s">
        <v>370</v>
      </c>
      <c r="C76" s="92" t="s">
        <v>355</v>
      </c>
      <c r="D76" s="92" t="s">
        <v>275</v>
      </c>
      <c r="E76" s="92" t="s">
        <v>363</v>
      </c>
      <c r="F76" s="92" t="s">
        <v>227</v>
      </c>
      <c r="G76" s="62">
        <v>28.52</v>
      </c>
      <c r="H76" s="62"/>
      <c r="I76" s="62"/>
      <c r="J76" s="22" t="s">
        <v>265</v>
      </c>
      <c r="K76" s="62">
        <v>5</v>
      </c>
      <c r="L76" s="41">
        <f>VLOOKUP(K76,Reinigungstage!A10:D31,4,FALSE)</f>
        <v>186.75</v>
      </c>
      <c r="M76" s="41">
        <f t="shared" si="7"/>
        <v>5326.11</v>
      </c>
      <c r="N76" s="93"/>
      <c r="O76" s="41"/>
      <c r="P76" s="41">
        <f t="shared" si="8"/>
        <v>0</v>
      </c>
      <c r="Q76" s="41">
        <f t="shared" si="9"/>
        <v>0</v>
      </c>
      <c r="R76" s="41">
        <f t="shared" si="10"/>
        <v>0</v>
      </c>
      <c r="S76" s="41">
        <f t="shared" si="11"/>
        <v>0</v>
      </c>
      <c r="T76" s="4" t="str">
        <f t="shared" si="12"/>
        <v>Leistungswert eintragen</v>
      </c>
      <c r="U76" s="4">
        <f t="shared" si="13"/>
        <v>0</v>
      </c>
    </row>
    <row r="77" spans="1:21" ht="15" customHeight="1" x14ac:dyDescent="0.2">
      <c r="A77" s="22">
        <v>57</v>
      </c>
      <c r="B77" s="91" t="s">
        <v>371</v>
      </c>
      <c r="C77" s="92" t="s">
        <v>355</v>
      </c>
      <c r="D77" s="92" t="s">
        <v>275</v>
      </c>
      <c r="E77" s="92" t="s">
        <v>322</v>
      </c>
      <c r="F77" s="92" t="s">
        <v>227</v>
      </c>
      <c r="G77" s="62">
        <v>61.93</v>
      </c>
      <c r="H77" s="62"/>
      <c r="I77" s="62"/>
      <c r="J77" s="22" t="s">
        <v>265</v>
      </c>
      <c r="K77" s="62">
        <v>5</v>
      </c>
      <c r="L77" s="41">
        <f>VLOOKUP(K77,Reinigungstage!A10:D31,4,FALSE)</f>
        <v>186.75</v>
      </c>
      <c r="M77" s="41">
        <f t="shared" si="7"/>
        <v>11565.43</v>
      </c>
      <c r="N77" s="93"/>
      <c r="O77" s="41"/>
      <c r="P77" s="41">
        <f t="shared" si="8"/>
        <v>0</v>
      </c>
      <c r="Q77" s="41">
        <f t="shared" si="9"/>
        <v>0</v>
      </c>
      <c r="R77" s="41">
        <f t="shared" si="10"/>
        <v>0</v>
      </c>
      <c r="S77" s="41">
        <f t="shared" si="11"/>
        <v>0</v>
      </c>
      <c r="T77" s="4" t="str">
        <f t="shared" si="12"/>
        <v>Leistungswert eintragen</v>
      </c>
      <c r="U77" s="4">
        <f t="shared" si="13"/>
        <v>0</v>
      </c>
    </row>
    <row r="78" spans="1:21" ht="15" customHeight="1" x14ac:dyDescent="0.2">
      <c r="A78" s="22">
        <v>58</v>
      </c>
      <c r="B78" s="91" t="s">
        <v>372</v>
      </c>
      <c r="C78" s="92" t="s">
        <v>355</v>
      </c>
      <c r="D78" s="92" t="s">
        <v>275</v>
      </c>
      <c r="E78" s="92" t="s">
        <v>322</v>
      </c>
      <c r="F78" s="92" t="s">
        <v>227</v>
      </c>
      <c r="G78" s="62">
        <v>63.42</v>
      </c>
      <c r="H78" s="62"/>
      <c r="I78" s="62"/>
      <c r="J78" s="22" t="s">
        <v>265</v>
      </c>
      <c r="K78" s="62">
        <v>5</v>
      </c>
      <c r="L78" s="41">
        <f>VLOOKUP(K78,Reinigungstage!A10:D31,4,FALSE)</f>
        <v>186.75</v>
      </c>
      <c r="M78" s="41">
        <f t="shared" si="7"/>
        <v>11843.69</v>
      </c>
      <c r="N78" s="93"/>
      <c r="O78" s="41"/>
      <c r="P78" s="41">
        <f t="shared" si="8"/>
        <v>0</v>
      </c>
      <c r="Q78" s="41">
        <f t="shared" si="9"/>
        <v>0</v>
      </c>
      <c r="R78" s="41">
        <f t="shared" si="10"/>
        <v>0</v>
      </c>
      <c r="S78" s="41">
        <f t="shared" si="11"/>
        <v>0</v>
      </c>
      <c r="T78" s="4" t="str">
        <f t="shared" si="12"/>
        <v>Leistungswert eintragen</v>
      </c>
      <c r="U78" s="4">
        <f t="shared" si="13"/>
        <v>0</v>
      </c>
    </row>
    <row r="79" spans="1:21" ht="15" customHeight="1" x14ac:dyDescent="0.2">
      <c r="A79" s="22">
        <v>59</v>
      </c>
      <c r="B79" s="91" t="s">
        <v>373</v>
      </c>
      <c r="C79" s="92" t="s">
        <v>355</v>
      </c>
      <c r="D79" s="92" t="s">
        <v>275</v>
      </c>
      <c r="E79" s="92" t="s">
        <v>374</v>
      </c>
      <c r="F79" s="92" t="s">
        <v>227</v>
      </c>
      <c r="G79" s="62">
        <v>12.65</v>
      </c>
      <c r="H79" s="62"/>
      <c r="I79" s="62"/>
      <c r="J79" s="22" t="s">
        <v>265</v>
      </c>
      <c r="K79" s="62">
        <v>5</v>
      </c>
      <c r="L79" s="41">
        <f>VLOOKUP(K79,Reinigungstage!A10:D31,4,FALSE)</f>
        <v>186.75</v>
      </c>
      <c r="M79" s="41">
        <f t="shared" si="7"/>
        <v>2362.39</v>
      </c>
      <c r="N79" s="93"/>
      <c r="O79" s="41"/>
      <c r="P79" s="41">
        <f t="shared" si="8"/>
        <v>0</v>
      </c>
      <c r="Q79" s="41">
        <f t="shared" si="9"/>
        <v>0</v>
      </c>
      <c r="R79" s="41">
        <f t="shared" si="10"/>
        <v>0</v>
      </c>
      <c r="S79" s="41">
        <f t="shared" si="11"/>
        <v>0</v>
      </c>
      <c r="T79" s="4" t="str">
        <f t="shared" si="12"/>
        <v>Leistungswert eintragen</v>
      </c>
      <c r="U79" s="4">
        <f t="shared" si="13"/>
        <v>0</v>
      </c>
    </row>
    <row r="80" spans="1:21" ht="15" customHeight="1" x14ac:dyDescent="0.2">
      <c r="A80" s="22">
        <v>60</v>
      </c>
      <c r="B80" s="91" t="s">
        <v>375</v>
      </c>
      <c r="C80" s="92" t="s">
        <v>355</v>
      </c>
      <c r="D80" s="92" t="s">
        <v>275</v>
      </c>
      <c r="E80" s="92" t="s">
        <v>322</v>
      </c>
      <c r="F80" s="92" t="s">
        <v>227</v>
      </c>
      <c r="G80" s="62">
        <v>50.05</v>
      </c>
      <c r="H80" s="62"/>
      <c r="I80" s="62"/>
      <c r="J80" s="22" t="s">
        <v>265</v>
      </c>
      <c r="K80" s="62">
        <v>5</v>
      </c>
      <c r="L80" s="41">
        <f>VLOOKUP(K80,Reinigungstage!A10:D31,4,FALSE)</f>
        <v>186.75</v>
      </c>
      <c r="M80" s="41">
        <f t="shared" si="7"/>
        <v>9346.84</v>
      </c>
      <c r="N80" s="93"/>
      <c r="O80" s="41"/>
      <c r="P80" s="41">
        <f t="shared" si="8"/>
        <v>0</v>
      </c>
      <c r="Q80" s="41">
        <f t="shared" si="9"/>
        <v>0</v>
      </c>
      <c r="R80" s="41">
        <f t="shared" si="10"/>
        <v>0</v>
      </c>
      <c r="S80" s="41">
        <f t="shared" si="11"/>
        <v>0</v>
      </c>
      <c r="T80" s="4" t="str">
        <f t="shared" si="12"/>
        <v>Leistungswert eintragen</v>
      </c>
      <c r="U80" s="4">
        <f t="shared" si="13"/>
        <v>0</v>
      </c>
    </row>
    <row r="81" spans="1:21" ht="15" customHeight="1" x14ac:dyDescent="0.2">
      <c r="A81" s="22">
        <v>61</v>
      </c>
      <c r="B81" s="91" t="s">
        <v>376</v>
      </c>
      <c r="C81" s="92" t="s">
        <v>355</v>
      </c>
      <c r="D81" s="92" t="s">
        <v>275</v>
      </c>
      <c r="E81" s="92" t="s">
        <v>374</v>
      </c>
      <c r="F81" s="92" t="s">
        <v>227</v>
      </c>
      <c r="G81" s="62">
        <v>19.46</v>
      </c>
      <c r="H81" s="62"/>
      <c r="I81" s="62"/>
      <c r="J81" s="22" t="s">
        <v>265</v>
      </c>
      <c r="K81" s="62">
        <v>5</v>
      </c>
      <c r="L81" s="41">
        <f>VLOOKUP(K81,Reinigungstage!A10:D31,4,FALSE)</f>
        <v>186.75</v>
      </c>
      <c r="M81" s="41">
        <f t="shared" si="7"/>
        <v>3634.16</v>
      </c>
      <c r="N81" s="93"/>
      <c r="O81" s="41"/>
      <c r="P81" s="41">
        <f t="shared" si="8"/>
        <v>0</v>
      </c>
      <c r="Q81" s="41">
        <f t="shared" si="9"/>
        <v>0</v>
      </c>
      <c r="R81" s="41">
        <f t="shared" si="10"/>
        <v>0</v>
      </c>
      <c r="S81" s="41">
        <f t="shared" si="11"/>
        <v>0</v>
      </c>
      <c r="T81" s="4" t="str">
        <f t="shared" si="12"/>
        <v>Leistungswert eintragen</v>
      </c>
      <c r="U81" s="4">
        <f t="shared" si="13"/>
        <v>0</v>
      </c>
    </row>
    <row r="82" spans="1:21" ht="15" customHeight="1" x14ac:dyDescent="0.2">
      <c r="A82" s="22">
        <v>62</v>
      </c>
      <c r="B82" s="91" t="s">
        <v>377</v>
      </c>
      <c r="C82" s="92" t="s">
        <v>355</v>
      </c>
      <c r="D82" s="92" t="s">
        <v>275</v>
      </c>
      <c r="E82" s="92" t="s">
        <v>322</v>
      </c>
      <c r="F82" s="92" t="s">
        <v>227</v>
      </c>
      <c r="G82" s="62">
        <v>50.05</v>
      </c>
      <c r="H82" s="62"/>
      <c r="I82" s="62"/>
      <c r="J82" s="22" t="s">
        <v>265</v>
      </c>
      <c r="K82" s="62">
        <v>5</v>
      </c>
      <c r="L82" s="41">
        <f>VLOOKUP(K82,Reinigungstage!A10:D31,4,FALSE)</f>
        <v>186.75</v>
      </c>
      <c r="M82" s="41">
        <f t="shared" si="7"/>
        <v>9346.84</v>
      </c>
      <c r="N82" s="93"/>
      <c r="O82" s="41"/>
      <c r="P82" s="41">
        <f t="shared" si="8"/>
        <v>0</v>
      </c>
      <c r="Q82" s="41">
        <f t="shared" si="9"/>
        <v>0</v>
      </c>
      <c r="R82" s="41">
        <f t="shared" si="10"/>
        <v>0</v>
      </c>
      <c r="S82" s="41">
        <f t="shared" si="11"/>
        <v>0</v>
      </c>
      <c r="T82" s="4" t="str">
        <f t="shared" si="12"/>
        <v>Leistungswert eintragen</v>
      </c>
      <c r="U82" s="4">
        <f t="shared" si="13"/>
        <v>0</v>
      </c>
    </row>
    <row r="83" spans="1:21" ht="15" customHeight="1" x14ac:dyDescent="0.2">
      <c r="A83" s="22">
        <v>63</v>
      </c>
      <c r="B83" s="91" t="s">
        <v>378</v>
      </c>
      <c r="C83" s="92" t="s">
        <v>355</v>
      </c>
      <c r="D83" s="92" t="s">
        <v>275</v>
      </c>
      <c r="E83" s="92" t="s">
        <v>314</v>
      </c>
      <c r="F83" s="92" t="s">
        <v>227</v>
      </c>
      <c r="G83" s="62">
        <v>168.42</v>
      </c>
      <c r="H83" s="62"/>
      <c r="I83" s="62"/>
      <c r="J83" s="22" t="s">
        <v>264</v>
      </c>
      <c r="K83" s="62">
        <v>5</v>
      </c>
      <c r="L83" s="41">
        <f>VLOOKUP(K83,Reinigungstage!A10:D31,4,FALSE)</f>
        <v>186.75</v>
      </c>
      <c r="M83" s="41">
        <f t="shared" si="7"/>
        <v>31452.44</v>
      </c>
      <c r="N83" s="93"/>
      <c r="O83" s="41"/>
      <c r="P83" s="41">
        <f t="shared" si="8"/>
        <v>0</v>
      </c>
      <c r="Q83" s="41">
        <f t="shared" si="9"/>
        <v>0</v>
      </c>
      <c r="R83" s="41">
        <f t="shared" si="10"/>
        <v>0</v>
      </c>
      <c r="S83" s="41">
        <f t="shared" si="11"/>
        <v>0</v>
      </c>
      <c r="T83" s="4" t="str">
        <f t="shared" si="12"/>
        <v>Leistungswert eintragen</v>
      </c>
      <c r="U83" s="4">
        <f t="shared" si="13"/>
        <v>0</v>
      </c>
    </row>
    <row r="84" spans="1:21" ht="15" customHeight="1" x14ac:dyDescent="0.2">
      <c r="A84" s="22">
        <v>64</v>
      </c>
      <c r="B84" s="91" t="s">
        <v>379</v>
      </c>
      <c r="C84" s="92" t="s">
        <v>355</v>
      </c>
      <c r="D84" s="92" t="s">
        <v>275</v>
      </c>
      <c r="E84" s="92" t="s">
        <v>226</v>
      </c>
      <c r="F84" s="92" t="s">
        <v>287</v>
      </c>
      <c r="G84" s="62">
        <v>57.8</v>
      </c>
      <c r="H84" s="62"/>
      <c r="I84" s="62"/>
      <c r="J84" s="22" t="s">
        <v>264</v>
      </c>
      <c r="K84" s="62">
        <v>5</v>
      </c>
      <c r="L84" s="41">
        <f>VLOOKUP(K84,Reinigungstage!A10:D31,4,FALSE)</f>
        <v>186.75</v>
      </c>
      <c r="M84" s="41">
        <f t="shared" si="7"/>
        <v>10794.15</v>
      </c>
      <c r="N84" s="93"/>
      <c r="O84" s="41"/>
      <c r="P84" s="41">
        <f t="shared" si="8"/>
        <v>0</v>
      </c>
      <c r="Q84" s="41">
        <f t="shared" si="9"/>
        <v>0</v>
      </c>
      <c r="R84" s="41">
        <f t="shared" si="10"/>
        <v>0</v>
      </c>
      <c r="S84" s="41">
        <f t="shared" si="11"/>
        <v>0</v>
      </c>
      <c r="T84" s="4" t="str">
        <f t="shared" si="12"/>
        <v>Leistungswert eintragen</v>
      </c>
      <c r="U84" s="4">
        <f t="shared" si="13"/>
        <v>0</v>
      </c>
    </row>
    <row r="85" spans="1:21" ht="15" customHeight="1" x14ac:dyDescent="0.2">
      <c r="A85" s="22">
        <v>65</v>
      </c>
      <c r="B85" s="91" t="s">
        <v>380</v>
      </c>
      <c r="C85" s="92" t="s">
        <v>355</v>
      </c>
      <c r="D85" s="92" t="s">
        <v>275</v>
      </c>
      <c r="E85" s="128" t="s">
        <v>316</v>
      </c>
      <c r="F85" s="128" t="s">
        <v>287</v>
      </c>
      <c r="G85" s="129">
        <v>4.0199999999999996</v>
      </c>
      <c r="H85" s="129"/>
      <c r="I85" s="129"/>
      <c r="J85" s="130" t="s">
        <v>268</v>
      </c>
      <c r="K85" s="129">
        <v>0</v>
      </c>
      <c r="L85" s="41">
        <f>VLOOKUP(K85,Reinigungstage!A10:D31,4,FALSE)</f>
        <v>0</v>
      </c>
      <c r="M85" s="41">
        <f t="shared" ref="M85:M113" si="14">ROUND(IF(L85=0,0,L85*G85),2)</f>
        <v>0</v>
      </c>
      <c r="N85" s="93"/>
      <c r="O85" s="41"/>
      <c r="P85" s="41">
        <f t="shared" ref="P85:P113" si="15">ROUND(IF(N85=0,0,M85/N85),2)</f>
        <v>0</v>
      </c>
      <c r="Q85" s="41">
        <f t="shared" ref="Q85:Q113" si="16">IF(M85=0,0,IF(O85="",0,ROUND(P85*O85,2)))</f>
        <v>0</v>
      </c>
      <c r="R85" s="41">
        <f t="shared" ref="R85:R113" si="17">ROUND(IF(P85=0,0,P85/L85),2)</f>
        <v>0</v>
      </c>
      <c r="S85" s="41">
        <f t="shared" ref="S85:S113" si="18">ROUND(IF(Q85=0,0,Q85/L85),2)</f>
        <v>0</v>
      </c>
      <c r="T85" s="4" t="str">
        <f t="shared" ref="T85:T113" si="19">IF(M85=0,"",IF(N85=0,"Leistungswert eintragen",IF(O85=0,"SVS prüfen","")))</f>
        <v/>
      </c>
      <c r="U85" s="4">
        <f t="shared" ref="U85:U113" si="20">VLOOKUP(J85,$U$4:$V$12,2,FALSE)</f>
        <v>0</v>
      </c>
    </row>
    <row r="86" spans="1:21" ht="15" customHeight="1" x14ac:dyDescent="0.2">
      <c r="A86" s="22">
        <v>66</v>
      </c>
      <c r="B86" s="91" t="s">
        <v>381</v>
      </c>
      <c r="C86" s="92" t="s">
        <v>355</v>
      </c>
      <c r="D86" s="92" t="s">
        <v>275</v>
      </c>
      <c r="E86" s="92" t="s">
        <v>235</v>
      </c>
      <c r="F86" s="92" t="s">
        <v>287</v>
      </c>
      <c r="G86" s="62">
        <v>20.28</v>
      </c>
      <c r="H86" s="62"/>
      <c r="I86" s="62"/>
      <c r="J86" s="22" t="s">
        <v>267</v>
      </c>
      <c r="K86" s="62">
        <v>5</v>
      </c>
      <c r="L86" s="41">
        <f>VLOOKUP(K86,Reinigungstage!A10:D31,4,FALSE)</f>
        <v>186.75</v>
      </c>
      <c r="M86" s="41">
        <f t="shared" si="14"/>
        <v>3787.29</v>
      </c>
      <c r="N86" s="93"/>
      <c r="O86" s="41"/>
      <c r="P86" s="41">
        <f t="shared" si="15"/>
        <v>0</v>
      </c>
      <c r="Q86" s="41">
        <f t="shared" si="16"/>
        <v>0</v>
      </c>
      <c r="R86" s="41">
        <f t="shared" si="17"/>
        <v>0</v>
      </c>
      <c r="S86" s="41">
        <f t="shared" si="18"/>
        <v>0</v>
      </c>
      <c r="T86" s="4" t="str">
        <f t="shared" si="19"/>
        <v>Leistungswert eintragen</v>
      </c>
      <c r="U86" s="4">
        <f t="shared" si="20"/>
        <v>0</v>
      </c>
    </row>
    <row r="87" spans="1:21" ht="15" customHeight="1" x14ac:dyDescent="0.2">
      <c r="A87" s="22">
        <v>67</v>
      </c>
      <c r="B87" s="91" t="s">
        <v>382</v>
      </c>
      <c r="C87" s="92" t="s">
        <v>355</v>
      </c>
      <c r="D87" s="92" t="s">
        <v>275</v>
      </c>
      <c r="E87" s="92" t="s">
        <v>369</v>
      </c>
      <c r="F87" s="92" t="s">
        <v>287</v>
      </c>
      <c r="G87" s="62">
        <v>14.55</v>
      </c>
      <c r="H87" s="62"/>
      <c r="I87" s="62"/>
      <c r="J87" s="22" t="s">
        <v>267</v>
      </c>
      <c r="K87" s="62">
        <v>5</v>
      </c>
      <c r="L87" s="41">
        <f>VLOOKUP(K87,Reinigungstage!A10:D31,4,FALSE)</f>
        <v>186.75</v>
      </c>
      <c r="M87" s="41">
        <f t="shared" si="14"/>
        <v>2717.21</v>
      </c>
      <c r="N87" s="93"/>
      <c r="O87" s="41"/>
      <c r="P87" s="41">
        <f t="shared" si="15"/>
        <v>0</v>
      </c>
      <c r="Q87" s="41">
        <f t="shared" si="16"/>
        <v>0</v>
      </c>
      <c r="R87" s="41">
        <f t="shared" si="17"/>
        <v>0</v>
      </c>
      <c r="S87" s="41">
        <f t="shared" si="18"/>
        <v>0</v>
      </c>
      <c r="T87" s="4" t="str">
        <f t="shared" si="19"/>
        <v>Leistungswert eintragen</v>
      </c>
      <c r="U87" s="4">
        <f t="shared" si="20"/>
        <v>0</v>
      </c>
    </row>
    <row r="88" spans="1:21" ht="15" customHeight="1" x14ac:dyDescent="0.2">
      <c r="A88" s="22">
        <v>68</v>
      </c>
      <c r="B88" s="91" t="s">
        <v>383</v>
      </c>
      <c r="C88" s="92" t="s">
        <v>355</v>
      </c>
      <c r="D88" s="92" t="s">
        <v>275</v>
      </c>
      <c r="E88" s="92" t="s">
        <v>384</v>
      </c>
      <c r="F88" s="92" t="s">
        <v>287</v>
      </c>
      <c r="G88" s="62">
        <v>16.86</v>
      </c>
      <c r="H88" s="62"/>
      <c r="I88" s="62"/>
      <c r="J88" s="22" t="s">
        <v>267</v>
      </c>
      <c r="K88" s="62">
        <v>5</v>
      </c>
      <c r="L88" s="41">
        <f>VLOOKUP(K88,Reinigungstage!A10:D31,4,FALSE)</f>
        <v>186.75</v>
      </c>
      <c r="M88" s="41">
        <f t="shared" si="14"/>
        <v>3148.61</v>
      </c>
      <c r="N88" s="93"/>
      <c r="O88" s="41"/>
      <c r="P88" s="41">
        <f t="shared" si="15"/>
        <v>0</v>
      </c>
      <c r="Q88" s="41">
        <f t="shared" si="16"/>
        <v>0</v>
      </c>
      <c r="R88" s="41">
        <f t="shared" si="17"/>
        <v>0</v>
      </c>
      <c r="S88" s="41">
        <f t="shared" si="18"/>
        <v>0</v>
      </c>
      <c r="T88" s="4" t="str">
        <f t="shared" si="19"/>
        <v>Leistungswert eintragen</v>
      </c>
      <c r="U88" s="4">
        <f t="shared" si="20"/>
        <v>0</v>
      </c>
    </row>
    <row r="89" spans="1:21" ht="15" customHeight="1" x14ac:dyDescent="0.2">
      <c r="A89" s="22">
        <v>69</v>
      </c>
      <c r="B89" s="91" t="s">
        <v>385</v>
      </c>
      <c r="C89" s="92" t="s">
        <v>355</v>
      </c>
      <c r="D89" s="92" t="s">
        <v>275</v>
      </c>
      <c r="E89" s="92" t="s">
        <v>239</v>
      </c>
      <c r="F89" s="92" t="s">
        <v>287</v>
      </c>
      <c r="G89" s="62">
        <v>11.7</v>
      </c>
      <c r="H89" s="62"/>
      <c r="I89" s="62"/>
      <c r="J89" s="22" t="s">
        <v>267</v>
      </c>
      <c r="K89" s="62">
        <v>5</v>
      </c>
      <c r="L89" s="41">
        <f>VLOOKUP(K89,Reinigungstage!A10:D31,4,FALSE)</f>
        <v>186.75</v>
      </c>
      <c r="M89" s="41">
        <f t="shared" si="14"/>
        <v>2184.98</v>
      </c>
      <c r="N89" s="93"/>
      <c r="O89" s="41"/>
      <c r="P89" s="41">
        <f t="shared" si="15"/>
        <v>0</v>
      </c>
      <c r="Q89" s="41">
        <f t="shared" si="16"/>
        <v>0</v>
      </c>
      <c r="R89" s="41">
        <f t="shared" si="17"/>
        <v>0</v>
      </c>
      <c r="S89" s="41">
        <f t="shared" si="18"/>
        <v>0</v>
      </c>
      <c r="T89" s="4" t="str">
        <f t="shared" si="19"/>
        <v>Leistungswert eintragen</v>
      </c>
      <c r="U89" s="4">
        <f t="shared" si="20"/>
        <v>0</v>
      </c>
    </row>
    <row r="90" spans="1:21" ht="15" customHeight="1" x14ac:dyDescent="0.2">
      <c r="A90" s="22">
        <v>70</v>
      </c>
      <c r="B90" s="91" t="s">
        <v>386</v>
      </c>
      <c r="C90" s="92" t="s">
        <v>355</v>
      </c>
      <c r="D90" s="92" t="s">
        <v>275</v>
      </c>
      <c r="E90" s="92" t="s">
        <v>322</v>
      </c>
      <c r="F90" s="92" t="s">
        <v>227</v>
      </c>
      <c r="G90" s="62">
        <v>50.05</v>
      </c>
      <c r="H90" s="62"/>
      <c r="I90" s="62"/>
      <c r="J90" s="22" t="s">
        <v>265</v>
      </c>
      <c r="K90" s="62">
        <v>5</v>
      </c>
      <c r="L90" s="41">
        <f>VLOOKUP(K90,Reinigungstage!A10:D31,4,FALSE)</f>
        <v>186.75</v>
      </c>
      <c r="M90" s="41">
        <f t="shared" si="14"/>
        <v>9346.84</v>
      </c>
      <c r="N90" s="93"/>
      <c r="O90" s="41"/>
      <c r="P90" s="41">
        <f t="shared" si="15"/>
        <v>0</v>
      </c>
      <c r="Q90" s="41">
        <f t="shared" si="16"/>
        <v>0</v>
      </c>
      <c r="R90" s="41">
        <f t="shared" si="17"/>
        <v>0</v>
      </c>
      <c r="S90" s="41">
        <f t="shared" si="18"/>
        <v>0</v>
      </c>
      <c r="T90" s="4" t="str">
        <f t="shared" si="19"/>
        <v>Leistungswert eintragen</v>
      </c>
      <c r="U90" s="4">
        <f t="shared" si="20"/>
        <v>0</v>
      </c>
    </row>
    <row r="91" spans="1:21" ht="15" customHeight="1" x14ac:dyDescent="0.2">
      <c r="A91" s="22">
        <v>71</v>
      </c>
      <c r="B91" s="91" t="s">
        <v>387</v>
      </c>
      <c r="C91" s="92" t="s">
        <v>355</v>
      </c>
      <c r="D91" s="92" t="s">
        <v>275</v>
      </c>
      <c r="E91" s="92" t="s">
        <v>322</v>
      </c>
      <c r="F91" s="92" t="s">
        <v>227</v>
      </c>
      <c r="G91" s="62">
        <v>50.05</v>
      </c>
      <c r="H91" s="62"/>
      <c r="I91" s="62"/>
      <c r="J91" s="22" t="s">
        <v>265</v>
      </c>
      <c r="K91" s="62">
        <v>5</v>
      </c>
      <c r="L91" s="41">
        <f>VLOOKUP(K91,Reinigungstage!A10:D31,4,FALSE)</f>
        <v>186.75</v>
      </c>
      <c r="M91" s="41">
        <f t="shared" si="14"/>
        <v>9346.84</v>
      </c>
      <c r="N91" s="93"/>
      <c r="O91" s="41"/>
      <c r="P91" s="41">
        <f t="shared" si="15"/>
        <v>0</v>
      </c>
      <c r="Q91" s="41">
        <f t="shared" si="16"/>
        <v>0</v>
      </c>
      <c r="R91" s="41">
        <f t="shared" si="17"/>
        <v>0</v>
      </c>
      <c r="S91" s="41">
        <f t="shared" si="18"/>
        <v>0</v>
      </c>
      <c r="T91" s="4" t="str">
        <f t="shared" si="19"/>
        <v>Leistungswert eintragen</v>
      </c>
      <c r="U91" s="4">
        <f t="shared" si="20"/>
        <v>0</v>
      </c>
    </row>
    <row r="92" spans="1:21" ht="15" customHeight="1" x14ac:dyDescent="0.2">
      <c r="A92" s="22">
        <v>72</v>
      </c>
      <c r="B92" s="91" t="s">
        <v>388</v>
      </c>
      <c r="C92" s="92" t="s">
        <v>355</v>
      </c>
      <c r="D92" s="92" t="s">
        <v>275</v>
      </c>
      <c r="E92" s="92" t="s">
        <v>389</v>
      </c>
      <c r="F92" s="92" t="s">
        <v>227</v>
      </c>
      <c r="G92" s="62">
        <v>19.46</v>
      </c>
      <c r="H92" s="62"/>
      <c r="I92" s="62"/>
      <c r="J92" s="22" t="s">
        <v>273</v>
      </c>
      <c r="K92" s="62">
        <v>2</v>
      </c>
      <c r="L92" s="41">
        <f>VLOOKUP(K92,Reinigungstage!A10:D31,4,FALSE)</f>
        <v>77.59</v>
      </c>
      <c r="M92" s="41">
        <f t="shared" si="14"/>
        <v>1509.9</v>
      </c>
      <c r="N92" s="93"/>
      <c r="O92" s="41"/>
      <c r="P92" s="41">
        <f t="shared" si="15"/>
        <v>0</v>
      </c>
      <c r="Q92" s="41">
        <f t="shared" si="16"/>
        <v>0</v>
      </c>
      <c r="R92" s="41">
        <f t="shared" si="17"/>
        <v>0</v>
      </c>
      <c r="S92" s="41">
        <f t="shared" si="18"/>
        <v>0</v>
      </c>
      <c r="T92" s="4" t="str">
        <f t="shared" si="19"/>
        <v>Leistungswert eintragen</v>
      </c>
      <c r="U92" s="4">
        <f t="shared" si="20"/>
        <v>0</v>
      </c>
    </row>
    <row r="93" spans="1:21" ht="15" customHeight="1" x14ac:dyDescent="0.2">
      <c r="A93" s="22">
        <v>73</v>
      </c>
      <c r="B93" s="91" t="s">
        <v>390</v>
      </c>
      <c r="C93" s="92" t="s">
        <v>355</v>
      </c>
      <c r="D93" s="92" t="s">
        <v>275</v>
      </c>
      <c r="E93" s="92" t="s">
        <v>322</v>
      </c>
      <c r="F93" s="92" t="s">
        <v>227</v>
      </c>
      <c r="G93" s="62">
        <v>50.05</v>
      </c>
      <c r="H93" s="62"/>
      <c r="I93" s="62"/>
      <c r="J93" s="22" t="s">
        <v>265</v>
      </c>
      <c r="K93" s="62">
        <v>5</v>
      </c>
      <c r="L93" s="41">
        <f>VLOOKUP(K93,Reinigungstage!A10:D31,4,FALSE)</f>
        <v>186.75</v>
      </c>
      <c r="M93" s="41">
        <f t="shared" si="14"/>
        <v>9346.84</v>
      </c>
      <c r="N93" s="93"/>
      <c r="O93" s="41"/>
      <c r="P93" s="41">
        <f t="shared" si="15"/>
        <v>0</v>
      </c>
      <c r="Q93" s="41">
        <f t="shared" si="16"/>
        <v>0</v>
      </c>
      <c r="R93" s="41">
        <f t="shared" si="17"/>
        <v>0</v>
      </c>
      <c r="S93" s="41">
        <f t="shared" si="18"/>
        <v>0</v>
      </c>
      <c r="T93" s="4" t="str">
        <f t="shared" si="19"/>
        <v>Leistungswert eintragen</v>
      </c>
      <c r="U93" s="4">
        <f t="shared" si="20"/>
        <v>0</v>
      </c>
    </row>
    <row r="94" spans="1:21" ht="15" customHeight="1" x14ac:dyDescent="0.2">
      <c r="A94" s="22">
        <v>74</v>
      </c>
      <c r="B94" s="91" t="s">
        <v>391</v>
      </c>
      <c r="C94" s="92" t="s">
        <v>355</v>
      </c>
      <c r="D94" s="92" t="s">
        <v>275</v>
      </c>
      <c r="E94" s="92" t="s">
        <v>314</v>
      </c>
      <c r="F94" s="92" t="s">
        <v>287</v>
      </c>
      <c r="G94" s="62">
        <v>152.12</v>
      </c>
      <c r="H94" s="62"/>
      <c r="I94" s="62"/>
      <c r="J94" s="22" t="s">
        <v>264</v>
      </c>
      <c r="K94" s="62">
        <v>5</v>
      </c>
      <c r="L94" s="41">
        <f>VLOOKUP(K94,Reinigungstage!A10:D31,4,FALSE)</f>
        <v>186.75</v>
      </c>
      <c r="M94" s="41">
        <f t="shared" si="14"/>
        <v>28408.41</v>
      </c>
      <c r="N94" s="93"/>
      <c r="O94" s="41"/>
      <c r="P94" s="41">
        <f t="shared" si="15"/>
        <v>0</v>
      </c>
      <c r="Q94" s="41">
        <f t="shared" si="16"/>
        <v>0</v>
      </c>
      <c r="R94" s="41">
        <f t="shared" si="17"/>
        <v>0</v>
      </c>
      <c r="S94" s="41">
        <f t="shared" si="18"/>
        <v>0</v>
      </c>
      <c r="T94" s="4" t="str">
        <f t="shared" si="19"/>
        <v>Leistungswert eintragen</v>
      </c>
      <c r="U94" s="4">
        <f t="shared" si="20"/>
        <v>0</v>
      </c>
    </row>
    <row r="95" spans="1:21" ht="15" customHeight="1" x14ac:dyDescent="0.2">
      <c r="A95" s="22">
        <v>75</v>
      </c>
      <c r="B95" s="91" t="s">
        <v>392</v>
      </c>
      <c r="C95" s="92" t="s">
        <v>355</v>
      </c>
      <c r="D95" s="92" t="s">
        <v>275</v>
      </c>
      <c r="E95" s="92" t="s">
        <v>328</v>
      </c>
      <c r="F95" s="92" t="s">
        <v>287</v>
      </c>
      <c r="G95" s="62">
        <v>30.72</v>
      </c>
      <c r="H95" s="62"/>
      <c r="I95" s="62"/>
      <c r="J95" s="22" t="s">
        <v>264</v>
      </c>
      <c r="K95" s="62">
        <v>5</v>
      </c>
      <c r="L95" s="41">
        <f>VLOOKUP(K95,Reinigungstage!A10:D31,4,FALSE)</f>
        <v>186.75</v>
      </c>
      <c r="M95" s="41">
        <f t="shared" si="14"/>
        <v>5736.96</v>
      </c>
      <c r="N95" s="93"/>
      <c r="O95" s="41"/>
      <c r="P95" s="41">
        <f t="shared" si="15"/>
        <v>0</v>
      </c>
      <c r="Q95" s="41">
        <f t="shared" si="16"/>
        <v>0</v>
      </c>
      <c r="R95" s="41">
        <f t="shared" si="17"/>
        <v>0</v>
      </c>
      <c r="S95" s="41">
        <f t="shared" si="18"/>
        <v>0</v>
      </c>
      <c r="T95" s="4" t="str">
        <f t="shared" si="19"/>
        <v>Leistungswert eintragen</v>
      </c>
      <c r="U95" s="4">
        <f t="shared" si="20"/>
        <v>0</v>
      </c>
    </row>
    <row r="96" spans="1:21" ht="24.95" customHeight="1" x14ac:dyDescent="0.2">
      <c r="A96" s="22">
        <v>76</v>
      </c>
      <c r="B96" s="91" t="s">
        <v>393</v>
      </c>
      <c r="C96" s="92" t="s">
        <v>355</v>
      </c>
      <c r="D96" s="92" t="s">
        <v>275</v>
      </c>
      <c r="E96" s="92" t="s">
        <v>330</v>
      </c>
      <c r="F96" s="92" t="s">
        <v>227</v>
      </c>
      <c r="G96" s="62">
        <v>52.11</v>
      </c>
      <c r="H96" s="62"/>
      <c r="I96" s="62"/>
      <c r="J96" s="22" t="s">
        <v>265</v>
      </c>
      <c r="K96" s="62">
        <v>5</v>
      </c>
      <c r="L96" s="41">
        <f>VLOOKUP(K96,Reinigungstage!A10:D31,4,FALSE)</f>
        <v>186.75</v>
      </c>
      <c r="M96" s="41">
        <f t="shared" si="14"/>
        <v>9731.5400000000009</v>
      </c>
      <c r="N96" s="93"/>
      <c r="O96" s="41"/>
      <c r="P96" s="41">
        <f t="shared" si="15"/>
        <v>0</v>
      </c>
      <c r="Q96" s="41">
        <f t="shared" si="16"/>
        <v>0</v>
      </c>
      <c r="R96" s="41">
        <f t="shared" si="17"/>
        <v>0</v>
      </c>
      <c r="S96" s="41">
        <f t="shared" si="18"/>
        <v>0</v>
      </c>
      <c r="T96" s="4" t="str">
        <f t="shared" si="19"/>
        <v>Leistungswert eintragen</v>
      </c>
      <c r="U96" s="4">
        <f t="shared" si="20"/>
        <v>0</v>
      </c>
    </row>
    <row r="97" spans="1:21" ht="24.95" customHeight="1" x14ac:dyDescent="0.2">
      <c r="A97" s="22">
        <v>77</v>
      </c>
      <c r="B97" s="91" t="s">
        <v>394</v>
      </c>
      <c r="C97" s="92" t="s">
        <v>355</v>
      </c>
      <c r="D97" s="92" t="s">
        <v>275</v>
      </c>
      <c r="E97" s="92" t="s">
        <v>330</v>
      </c>
      <c r="F97" s="92" t="s">
        <v>227</v>
      </c>
      <c r="G97" s="62">
        <v>54.31</v>
      </c>
      <c r="H97" s="62"/>
      <c r="I97" s="62"/>
      <c r="J97" s="22" t="s">
        <v>265</v>
      </c>
      <c r="K97" s="62">
        <v>5</v>
      </c>
      <c r="L97" s="41">
        <f>VLOOKUP(K97,Reinigungstage!A10:D31,4,FALSE)</f>
        <v>186.75</v>
      </c>
      <c r="M97" s="41">
        <f t="shared" si="14"/>
        <v>10142.39</v>
      </c>
      <c r="N97" s="93"/>
      <c r="O97" s="41"/>
      <c r="P97" s="41">
        <f t="shared" si="15"/>
        <v>0</v>
      </c>
      <c r="Q97" s="41">
        <f t="shared" si="16"/>
        <v>0</v>
      </c>
      <c r="R97" s="41">
        <f t="shared" si="17"/>
        <v>0</v>
      </c>
      <c r="S97" s="41">
        <f t="shared" si="18"/>
        <v>0</v>
      </c>
      <c r="T97" s="4" t="str">
        <f t="shared" si="19"/>
        <v>Leistungswert eintragen</v>
      </c>
      <c r="U97" s="4">
        <f t="shared" si="20"/>
        <v>0</v>
      </c>
    </row>
    <row r="98" spans="1:21" ht="24.95" customHeight="1" x14ac:dyDescent="0.2">
      <c r="A98" s="22">
        <v>78</v>
      </c>
      <c r="B98" s="91" t="s">
        <v>395</v>
      </c>
      <c r="C98" s="92" t="s">
        <v>355</v>
      </c>
      <c r="D98" s="92" t="s">
        <v>275</v>
      </c>
      <c r="E98" s="92" t="s">
        <v>330</v>
      </c>
      <c r="F98" s="92" t="s">
        <v>227</v>
      </c>
      <c r="G98" s="62">
        <v>54.85</v>
      </c>
      <c r="H98" s="62"/>
      <c r="I98" s="62"/>
      <c r="J98" s="22" t="s">
        <v>265</v>
      </c>
      <c r="K98" s="62">
        <v>5</v>
      </c>
      <c r="L98" s="41">
        <f>VLOOKUP(K98,Reinigungstage!A10:D31,4,FALSE)</f>
        <v>186.75</v>
      </c>
      <c r="M98" s="41">
        <f t="shared" si="14"/>
        <v>10243.24</v>
      </c>
      <c r="N98" s="93"/>
      <c r="O98" s="41"/>
      <c r="P98" s="41">
        <f t="shared" si="15"/>
        <v>0</v>
      </c>
      <c r="Q98" s="41">
        <f t="shared" si="16"/>
        <v>0</v>
      </c>
      <c r="R98" s="41">
        <f t="shared" si="17"/>
        <v>0</v>
      </c>
      <c r="S98" s="41">
        <f t="shared" si="18"/>
        <v>0</v>
      </c>
      <c r="T98" s="4" t="str">
        <f t="shared" si="19"/>
        <v>Leistungswert eintragen</v>
      </c>
      <c r="U98" s="4">
        <f t="shared" si="20"/>
        <v>0</v>
      </c>
    </row>
    <row r="99" spans="1:21" ht="24.95" customHeight="1" x14ac:dyDescent="0.2">
      <c r="A99" s="22">
        <v>79</v>
      </c>
      <c r="B99" s="91" t="s">
        <v>396</v>
      </c>
      <c r="C99" s="92" t="s">
        <v>355</v>
      </c>
      <c r="D99" s="92" t="s">
        <v>275</v>
      </c>
      <c r="E99" s="92" t="s">
        <v>330</v>
      </c>
      <c r="F99" s="92" t="s">
        <v>227</v>
      </c>
      <c r="G99" s="62">
        <v>54.31</v>
      </c>
      <c r="H99" s="62"/>
      <c r="I99" s="62"/>
      <c r="J99" s="22" t="s">
        <v>265</v>
      </c>
      <c r="K99" s="62">
        <v>5</v>
      </c>
      <c r="L99" s="41">
        <f>VLOOKUP(K99,Reinigungstage!A10:D31,4,FALSE)</f>
        <v>186.75</v>
      </c>
      <c r="M99" s="41">
        <f t="shared" si="14"/>
        <v>10142.39</v>
      </c>
      <c r="N99" s="93"/>
      <c r="O99" s="41"/>
      <c r="P99" s="41">
        <f t="shared" si="15"/>
        <v>0</v>
      </c>
      <c r="Q99" s="41">
        <f t="shared" si="16"/>
        <v>0</v>
      </c>
      <c r="R99" s="41">
        <f t="shared" si="17"/>
        <v>0</v>
      </c>
      <c r="S99" s="41">
        <f t="shared" si="18"/>
        <v>0</v>
      </c>
      <c r="T99" s="4" t="str">
        <f t="shared" si="19"/>
        <v>Leistungswert eintragen</v>
      </c>
      <c r="U99" s="4">
        <f t="shared" si="20"/>
        <v>0</v>
      </c>
    </row>
    <row r="100" spans="1:21" ht="24.95" customHeight="1" x14ac:dyDescent="0.2">
      <c r="A100" s="22">
        <v>80</v>
      </c>
      <c r="B100" s="91" t="s">
        <v>397</v>
      </c>
      <c r="C100" s="92" t="s">
        <v>355</v>
      </c>
      <c r="D100" s="92" t="s">
        <v>275</v>
      </c>
      <c r="E100" s="92" t="s">
        <v>330</v>
      </c>
      <c r="F100" s="92" t="s">
        <v>227</v>
      </c>
      <c r="G100" s="62">
        <v>75.239999999999995</v>
      </c>
      <c r="H100" s="62"/>
      <c r="I100" s="62"/>
      <c r="J100" s="22" t="s">
        <v>265</v>
      </c>
      <c r="K100" s="62">
        <v>5</v>
      </c>
      <c r="L100" s="41">
        <f>VLOOKUP(K100,Reinigungstage!A10:D31,4,FALSE)</f>
        <v>186.75</v>
      </c>
      <c r="M100" s="41">
        <f t="shared" si="14"/>
        <v>14051.07</v>
      </c>
      <c r="N100" s="93"/>
      <c r="O100" s="41"/>
      <c r="P100" s="41">
        <f t="shared" si="15"/>
        <v>0</v>
      </c>
      <c r="Q100" s="41">
        <f t="shared" si="16"/>
        <v>0</v>
      </c>
      <c r="R100" s="41">
        <f t="shared" si="17"/>
        <v>0</v>
      </c>
      <c r="S100" s="41">
        <f t="shared" si="18"/>
        <v>0</v>
      </c>
      <c r="T100" s="4" t="str">
        <f t="shared" si="19"/>
        <v>Leistungswert eintragen</v>
      </c>
      <c r="U100" s="4">
        <f t="shared" si="20"/>
        <v>0</v>
      </c>
    </row>
    <row r="101" spans="1:21" ht="15" customHeight="1" x14ac:dyDescent="0.2">
      <c r="A101" s="22">
        <v>81</v>
      </c>
      <c r="B101" s="91" t="s">
        <v>398</v>
      </c>
      <c r="C101" s="92" t="s">
        <v>355</v>
      </c>
      <c r="D101" s="92" t="s">
        <v>275</v>
      </c>
      <c r="E101" s="92" t="s">
        <v>337</v>
      </c>
      <c r="F101" s="92" t="s">
        <v>287</v>
      </c>
      <c r="G101" s="62">
        <v>112.61</v>
      </c>
      <c r="H101" s="62"/>
      <c r="I101" s="62"/>
      <c r="J101" s="22" t="s">
        <v>264</v>
      </c>
      <c r="K101" s="62">
        <v>5</v>
      </c>
      <c r="L101" s="41">
        <f>VLOOKUP(K101,Reinigungstage!A10:D31,4,FALSE)</f>
        <v>186.75</v>
      </c>
      <c r="M101" s="41">
        <f t="shared" si="14"/>
        <v>21029.919999999998</v>
      </c>
      <c r="N101" s="93"/>
      <c r="O101" s="41"/>
      <c r="P101" s="41">
        <f t="shared" si="15"/>
        <v>0</v>
      </c>
      <c r="Q101" s="41">
        <f t="shared" si="16"/>
        <v>0</v>
      </c>
      <c r="R101" s="41">
        <f t="shared" si="17"/>
        <v>0</v>
      </c>
      <c r="S101" s="41">
        <f t="shared" si="18"/>
        <v>0</v>
      </c>
      <c r="T101" s="4" t="str">
        <f t="shared" si="19"/>
        <v>Leistungswert eintragen</v>
      </c>
      <c r="U101" s="4">
        <f t="shared" si="20"/>
        <v>0</v>
      </c>
    </row>
    <row r="102" spans="1:21" ht="15" customHeight="1" x14ac:dyDescent="0.2">
      <c r="A102" s="22">
        <v>82</v>
      </c>
      <c r="B102" s="91" t="s">
        <v>399</v>
      </c>
      <c r="C102" s="92" t="s">
        <v>355</v>
      </c>
      <c r="D102" s="92" t="s">
        <v>275</v>
      </c>
      <c r="E102" s="92" t="s">
        <v>400</v>
      </c>
      <c r="F102" s="92" t="s">
        <v>227</v>
      </c>
      <c r="G102" s="62">
        <v>75.17</v>
      </c>
      <c r="H102" s="62"/>
      <c r="I102" s="62"/>
      <c r="J102" s="22" t="s">
        <v>265</v>
      </c>
      <c r="K102" s="62">
        <v>5</v>
      </c>
      <c r="L102" s="41">
        <f>VLOOKUP(K102,Reinigungstage!A10:D31,4,FALSE)</f>
        <v>186.75</v>
      </c>
      <c r="M102" s="41">
        <f t="shared" si="14"/>
        <v>14038</v>
      </c>
      <c r="N102" s="93"/>
      <c r="O102" s="41"/>
      <c r="P102" s="41">
        <f t="shared" si="15"/>
        <v>0</v>
      </c>
      <c r="Q102" s="41">
        <f t="shared" si="16"/>
        <v>0</v>
      </c>
      <c r="R102" s="41">
        <f t="shared" si="17"/>
        <v>0</v>
      </c>
      <c r="S102" s="41">
        <f t="shared" si="18"/>
        <v>0</v>
      </c>
      <c r="T102" s="4" t="str">
        <f t="shared" si="19"/>
        <v>Leistungswert eintragen</v>
      </c>
      <c r="U102" s="4">
        <f t="shared" si="20"/>
        <v>0</v>
      </c>
    </row>
    <row r="103" spans="1:21" ht="15" customHeight="1" x14ac:dyDescent="0.2">
      <c r="A103" s="22">
        <v>83</v>
      </c>
      <c r="B103" s="91" t="s">
        <v>401</v>
      </c>
      <c r="C103" s="92" t="s">
        <v>355</v>
      </c>
      <c r="D103" s="92" t="s">
        <v>275</v>
      </c>
      <c r="E103" s="92" t="s">
        <v>341</v>
      </c>
      <c r="F103" s="92" t="s">
        <v>287</v>
      </c>
      <c r="G103" s="62">
        <v>59.71</v>
      </c>
      <c r="H103" s="62"/>
      <c r="I103" s="62"/>
      <c r="J103" s="22" t="s">
        <v>270</v>
      </c>
      <c r="K103" s="62">
        <v>5</v>
      </c>
      <c r="L103" s="41">
        <f>VLOOKUP(K103,Reinigungstage!A10:D31,4,FALSE)</f>
        <v>186.75</v>
      </c>
      <c r="M103" s="41">
        <f t="shared" si="14"/>
        <v>11150.84</v>
      </c>
      <c r="N103" s="93"/>
      <c r="O103" s="41"/>
      <c r="P103" s="41">
        <f t="shared" si="15"/>
        <v>0</v>
      </c>
      <c r="Q103" s="41">
        <f t="shared" si="16"/>
        <v>0</v>
      </c>
      <c r="R103" s="41">
        <f t="shared" si="17"/>
        <v>0</v>
      </c>
      <c r="S103" s="41">
        <f t="shared" si="18"/>
        <v>0</v>
      </c>
      <c r="T103" s="4" t="str">
        <f t="shared" si="19"/>
        <v>Leistungswert eintragen</v>
      </c>
      <c r="U103" s="4">
        <f t="shared" si="20"/>
        <v>0</v>
      </c>
    </row>
    <row r="104" spans="1:21" ht="15" customHeight="1" x14ac:dyDescent="0.2">
      <c r="A104" s="22">
        <v>84</v>
      </c>
      <c r="B104" s="91" t="s">
        <v>402</v>
      </c>
      <c r="C104" s="92" t="s">
        <v>355</v>
      </c>
      <c r="D104" s="92" t="s">
        <v>275</v>
      </c>
      <c r="E104" s="92" t="s">
        <v>403</v>
      </c>
      <c r="F104" s="92" t="s">
        <v>227</v>
      </c>
      <c r="G104" s="62">
        <v>26.95</v>
      </c>
      <c r="H104" s="62"/>
      <c r="I104" s="62"/>
      <c r="J104" s="22" t="s">
        <v>268</v>
      </c>
      <c r="K104" s="62">
        <v>0</v>
      </c>
      <c r="L104" s="41">
        <f>VLOOKUP(K104,Reinigungstage!A10:D31,4,FALSE)</f>
        <v>0</v>
      </c>
      <c r="M104" s="41">
        <f t="shared" si="14"/>
        <v>0</v>
      </c>
      <c r="N104" s="93"/>
      <c r="O104" s="41"/>
      <c r="P104" s="41">
        <f t="shared" si="15"/>
        <v>0</v>
      </c>
      <c r="Q104" s="41">
        <f t="shared" si="16"/>
        <v>0</v>
      </c>
      <c r="R104" s="41">
        <f t="shared" si="17"/>
        <v>0</v>
      </c>
      <c r="S104" s="41">
        <f t="shared" si="18"/>
        <v>0</v>
      </c>
      <c r="T104" s="4" t="str">
        <f t="shared" si="19"/>
        <v/>
      </c>
      <c r="U104" s="4">
        <f t="shared" si="20"/>
        <v>0</v>
      </c>
    </row>
    <row r="105" spans="1:21" ht="15" customHeight="1" x14ac:dyDescent="0.2">
      <c r="A105" s="22">
        <v>85</v>
      </c>
      <c r="B105" s="91" t="s">
        <v>404</v>
      </c>
      <c r="C105" s="92" t="s">
        <v>355</v>
      </c>
      <c r="D105" s="92" t="s">
        <v>275</v>
      </c>
      <c r="E105" s="92" t="s">
        <v>405</v>
      </c>
      <c r="F105" s="92" t="s">
        <v>227</v>
      </c>
      <c r="G105" s="62">
        <v>75.180000000000007</v>
      </c>
      <c r="H105" s="62"/>
      <c r="I105" s="62"/>
      <c r="J105" s="22" t="s">
        <v>265</v>
      </c>
      <c r="K105" s="62">
        <v>5</v>
      </c>
      <c r="L105" s="41">
        <f>VLOOKUP(K105,Reinigungstage!A10:D31,4,FALSE)</f>
        <v>186.75</v>
      </c>
      <c r="M105" s="41">
        <f t="shared" si="14"/>
        <v>14039.87</v>
      </c>
      <c r="N105" s="93"/>
      <c r="O105" s="41"/>
      <c r="P105" s="41">
        <f t="shared" si="15"/>
        <v>0</v>
      </c>
      <c r="Q105" s="41">
        <f t="shared" si="16"/>
        <v>0</v>
      </c>
      <c r="R105" s="41">
        <f t="shared" si="17"/>
        <v>0</v>
      </c>
      <c r="S105" s="41">
        <f t="shared" si="18"/>
        <v>0</v>
      </c>
      <c r="T105" s="4" t="str">
        <f t="shared" si="19"/>
        <v>Leistungswert eintragen</v>
      </c>
      <c r="U105" s="4">
        <f t="shared" si="20"/>
        <v>0</v>
      </c>
    </row>
    <row r="106" spans="1:21" ht="15" customHeight="1" x14ac:dyDescent="0.2">
      <c r="A106" s="22">
        <v>86</v>
      </c>
      <c r="B106" s="91" t="s">
        <v>406</v>
      </c>
      <c r="C106" s="92" t="s">
        <v>355</v>
      </c>
      <c r="D106" s="92" t="s">
        <v>275</v>
      </c>
      <c r="E106" s="92" t="s">
        <v>407</v>
      </c>
      <c r="F106" s="92" t="s">
        <v>227</v>
      </c>
      <c r="G106" s="62">
        <v>75.180000000000007</v>
      </c>
      <c r="H106" s="62"/>
      <c r="I106" s="62"/>
      <c r="J106" s="22" t="s">
        <v>265</v>
      </c>
      <c r="K106" s="62">
        <v>5</v>
      </c>
      <c r="L106" s="41">
        <f>VLOOKUP(K106,Reinigungstage!A10:D31,4,FALSE)</f>
        <v>186.75</v>
      </c>
      <c r="M106" s="41">
        <f t="shared" si="14"/>
        <v>14039.87</v>
      </c>
      <c r="N106" s="93"/>
      <c r="O106" s="41"/>
      <c r="P106" s="41">
        <f t="shared" si="15"/>
        <v>0</v>
      </c>
      <c r="Q106" s="41">
        <f t="shared" si="16"/>
        <v>0</v>
      </c>
      <c r="R106" s="41">
        <f t="shared" si="17"/>
        <v>0</v>
      </c>
      <c r="S106" s="41">
        <f t="shared" si="18"/>
        <v>0</v>
      </c>
      <c r="T106" s="4" t="str">
        <f t="shared" si="19"/>
        <v>Leistungswert eintragen</v>
      </c>
      <c r="U106" s="4">
        <f t="shared" si="20"/>
        <v>0</v>
      </c>
    </row>
    <row r="107" spans="1:21" ht="15" customHeight="1" x14ac:dyDescent="0.2">
      <c r="A107" s="22">
        <v>87</v>
      </c>
      <c r="B107" s="91" t="s">
        <v>408</v>
      </c>
      <c r="C107" s="92" t="s">
        <v>355</v>
      </c>
      <c r="D107" s="92" t="s">
        <v>275</v>
      </c>
      <c r="E107" s="92" t="s">
        <v>347</v>
      </c>
      <c r="F107" s="92" t="s">
        <v>287</v>
      </c>
      <c r="G107" s="62">
        <v>44.92</v>
      </c>
      <c r="H107" s="62"/>
      <c r="I107" s="62"/>
      <c r="J107" s="22" t="s">
        <v>270</v>
      </c>
      <c r="K107" s="62">
        <v>5</v>
      </c>
      <c r="L107" s="41">
        <f>VLOOKUP(K107,Reinigungstage!A10:D31,4,FALSE)</f>
        <v>186.75</v>
      </c>
      <c r="M107" s="41">
        <f t="shared" si="14"/>
        <v>8388.81</v>
      </c>
      <c r="N107" s="93"/>
      <c r="O107" s="41"/>
      <c r="P107" s="41">
        <f t="shared" si="15"/>
        <v>0</v>
      </c>
      <c r="Q107" s="41">
        <f t="shared" si="16"/>
        <v>0</v>
      </c>
      <c r="R107" s="41">
        <f t="shared" si="17"/>
        <v>0</v>
      </c>
      <c r="S107" s="41">
        <f t="shared" si="18"/>
        <v>0</v>
      </c>
      <c r="T107" s="4" t="str">
        <f t="shared" si="19"/>
        <v>Leistungswert eintragen</v>
      </c>
      <c r="U107" s="4">
        <f t="shared" si="20"/>
        <v>0</v>
      </c>
    </row>
    <row r="108" spans="1:21" ht="15" customHeight="1" x14ac:dyDescent="0.2">
      <c r="A108" s="22">
        <v>88</v>
      </c>
      <c r="B108" s="91" t="s">
        <v>409</v>
      </c>
      <c r="C108" s="92" t="s">
        <v>355</v>
      </c>
      <c r="D108" s="92" t="s">
        <v>275</v>
      </c>
      <c r="E108" s="92" t="s">
        <v>410</v>
      </c>
      <c r="F108" s="92" t="s">
        <v>227</v>
      </c>
      <c r="G108" s="62">
        <v>27.02</v>
      </c>
      <c r="H108" s="62"/>
      <c r="I108" s="62"/>
      <c r="J108" s="22" t="s">
        <v>266</v>
      </c>
      <c r="K108" s="62">
        <v>1</v>
      </c>
      <c r="L108" s="41">
        <f>VLOOKUP(K108,Reinigungstage!A10:D31,4,FALSE)</f>
        <v>38.79</v>
      </c>
      <c r="M108" s="41">
        <f t="shared" si="14"/>
        <v>1048.1099999999999</v>
      </c>
      <c r="N108" s="93"/>
      <c r="O108" s="41"/>
      <c r="P108" s="41">
        <f t="shared" si="15"/>
        <v>0</v>
      </c>
      <c r="Q108" s="41">
        <f t="shared" si="16"/>
        <v>0</v>
      </c>
      <c r="R108" s="41">
        <f t="shared" si="17"/>
        <v>0</v>
      </c>
      <c r="S108" s="41">
        <f t="shared" si="18"/>
        <v>0</v>
      </c>
      <c r="T108" s="4" t="str">
        <f t="shared" si="19"/>
        <v>Leistungswert eintragen</v>
      </c>
      <c r="U108" s="4">
        <f t="shared" si="20"/>
        <v>0</v>
      </c>
    </row>
    <row r="109" spans="1:21" ht="15" customHeight="1" x14ac:dyDescent="0.2">
      <c r="A109" s="22">
        <v>89</v>
      </c>
      <c r="B109" s="91" t="s">
        <v>411</v>
      </c>
      <c r="C109" s="92" t="s">
        <v>355</v>
      </c>
      <c r="D109" s="92" t="s">
        <v>275</v>
      </c>
      <c r="E109" s="92" t="s">
        <v>412</v>
      </c>
      <c r="F109" s="92" t="s">
        <v>227</v>
      </c>
      <c r="G109" s="62">
        <v>75.180000000000007</v>
      </c>
      <c r="H109" s="62"/>
      <c r="I109" s="62"/>
      <c r="J109" s="22" t="s">
        <v>265</v>
      </c>
      <c r="K109" s="62">
        <v>5</v>
      </c>
      <c r="L109" s="41">
        <f>VLOOKUP(K109,Reinigungstage!A10:D31,4,FALSE)</f>
        <v>186.75</v>
      </c>
      <c r="M109" s="41">
        <f t="shared" si="14"/>
        <v>14039.87</v>
      </c>
      <c r="N109" s="93"/>
      <c r="O109" s="41"/>
      <c r="P109" s="41">
        <f t="shared" si="15"/>
        <v>0</v>
      </c>
      <c r="Q109" s="41">
        <f t="shared" si="16"/>
        <v>0</v>
      </c>
      <c r="R109" s="41">
        <f t="shared" si="17"/>
        <v>0</v>
      </c>
      <c r="S109" s="41">
        <f t="shared" si="18"/>
        <v>0</v>
      </c>
      <c r="T109" s="4" t="str">
        <f t="shared" si="19"/>
        <v>Leistungswert eintragen</v>
      </c>
      <c r="U109" s="4">
        <f t="shared" si="20"/>
        <v>0</v>
      </c>
    </row>
    <row r="110" spans="1:21" ht="15" customHeight="1" x14ac:dyDescent="0.2">
      <c r="A110" s="22">
        <v>90</v>
      </c>
      <c r="B110" s="91" t="s">
        <v>413</v>
      </c>
      <c r="C110" s="92" t="s">
        <v>355</v>
      </c>
      <c r="D110" s="92" t="s">
        <v>275</v>
      </c>
      <c r="E110" s="92" t="s">
        <v>414</v>
      </c>
      <c r="F110" s="92" t="s">
        <v>227</v>
      </c>
      <c r="G110" s="62">
        <v>75.180000000000007</v>
      </c>
      <c r="H110" s="62"/>
      <c r="I110" s="62"/>
      <c r="J110" s="22" t="s">
        <v>265</v>
      </c>
      <c r="K110" s="62">
        <v>5</v>
      </c>
      <c r="L110" s="41">
        <f>VLOOKUP(K110,Reinigungstage!A10:D31,4,FALSE)</f>
        <v>186.75</v>
      </c>
      <c r="M110" s="41">
        <f t="shared" si="14"/>
        <v>14039.87</v>
      </c>
      <c r="N110" s="93"/>
      <c r="O110" s="41"/>
      <c r="P110" s="41">
        <f t="shared" si="15"/>
        <v>0</v>
      </c>
      <c r="Q110" s="41">
        <f t="shared" si="16"/>
        <v>0</v>
      </c>
      <c r="R110" s="41">
        <f t="shared" si="17"/>
        <v>0</v>
      </c>
      <c r="S110" s="41">
        <f t="shared" si="18"/>
        <v>0</v>
      </c>
      <c r="T110" s="4" t="str">
        <f t="shared" si="19"/>
        <v>Leistungswert eintragen</v>
      </c>
      <c r="U110" s="4">
        <f t="shared" si="20"/>
        <v>0</v>
      </c>
    </row>
    <row r="111" spans="1:21" ht="15" customHeight="1" x14ac:dyDescent="0.2">
      <c r="A111" s="22">
        <v>91</v>
      </c>
      <c r="B111" s="91" t="s">
        <v>415</v>
      </c>
      <c r="C111" s="92" t="s">
        <v>355</v>
      </c>
      <c r="D111" s="92" t="s">
        <v>275</v>
      </c>
      <c r="E111" s="92" t="s">
        <v>416</v>
      </c>
      <c r="F111" s="92" t="s">
        <v>227</v>
      </c>
      <c r="G111" s="62">
        <v>26.95</v>
      </c>
      <c r="H111" s="62"/>
      <c r="I111" s="62"/>
      <c r="J111" s="22" t="s">
        <v>266</v>
      </c>
      <c r="K111" s="62">
        <v>1</v>
      </c>
      <c r="L111" s="41">
        <f>VLOOKUP(K111,Reinigungstage!A10:D31,4,FALSE)</f>
        <v>38.79</v>
      </c>
      <c r="M111" s="41">
        <f t="shared" si="14"/>
        <v>1045.3900000000001</v>
      </c>
      <c r="N111" s="93"/>
      <c r="O111" s="41"/>
      <c r="P111" s="41">
        <f t="shared" si="15"/>
        <v>0</v>
      </c>
      <c r="Q111" s="41">
        <f t="shared" si="16"/>
        <v>0</v>
      </c>
      <c r="R111" s="41">
        <f t="shared" si="17"/>
        <v>0</v>
      </c>
      <c r="S111" s="41">
        <f t="shared" si="18"/>
        <v>0</v>
      </c>
      <c r="T111" s="4" t="str">
        <f t="shared" si="19"/>
        <v>Leistungswert eintragen</v>
      </c>
      <c r="U111" s="4">
        <f t="shared" si="20"/>
        <v>0</v>
      </c>
    </row>
    <row r="112" spans="1:21" ht="15" customHeight="1" x14ac:dyDescent="0.2">
      <c r="A112" s="22">
        <v>92</v>
      </c>
      <c r="B112" s="91" t="s">
        <v>417</v>
      </c>
      <c r="C112" s="92" t="s">
        <v>355</v>
      </c>
      <c r="D112" s="92" t="s">
        <v>275</v>
      </c>
      <c r="E112" s="92" t="s">
        <v>418</v>
      </c>
      <c r="F112" s="92" t="s">
        <v>227</v>
      </c>
      <c r="G112" s="62">
        <v>75.180000000000007</v>
      </c>
      <c r="H112" s="62"/>
      <c r="I112" s="62"/>
      <c r="J112" s="22" t="s">
        <v>265</v>
      </c>
      <c r="K112" s="62">
        <v>5</v>
      </c>
      <c r="L112" s="41">
        <f>VLOOKUP(K112,Reinigungstage!A10:D31,4,FALSE)</f>
        <v>186.75</v>
      </c>
      <c r="M112" s="41">
        <f t="shared" si="14"/>
        <v>14039.87</v>
      </c>
      <c r="N112" s="93"/>
      <c r="O112" s="41"/>
      <c r="P112" s="41">
        <f t="shared" si="15"/>
        <v>0</v>
      </c>
      <c r="Q112" s="41">
        <f t="shared" si="16"/>
        <v>0</v>
      </c>
      <c r="R112" s="41">
        <f t="shared" si="17"/>
        <v>0</v>
      </c>
      <c r="S112" s="41">
        <f t="shared" si="18"/>
        <v>0</v>
      </c>
      <c r="T112" s="4" t="str">
        <f t="shared" si="19"/>
        <v>Leistungswert eintragen</v>
      </c>
      <c r="U112" s="4">
        <f t="shared" si="20"/>
        <v>0</v>
      </c>
    </row>
    <row r="113" spans="1:21" ht="10.5" x14ac:dyDescent="0.2">
      <c r="A113" s="22">
        <v>93</v>
      </c>
      <c r="B113" s="91" t="s">
        <v>419</v>
      </c>
      <c r="C113" s="92" t="s">
        <v>355</v>
      </c>
      <c r="D113" s="92" t="s">
        <v>275</v>
      </c>
      <c r="E113" s="92" t="s">
        <v>420</v>
      </c>
      <c r="F113" s="92" t="s">
        <v>277</v>
      </c>
      <c r="G113" s="62">
        <v>98.9</v>
      </c>
      <c r="H113" s="62"/>
      <c r="I113" s="62"/>
      <c r="J113" s="22" t="s">
        <v>264</v>
      </c>
      <c r="K113" s="62">
        <v>5</v>
      </c>
      <c r="L113" s="41">
        <f>VLOOKUP(K113,Reinigungstage!A10:D31,4,FALSE)</f>
        <v>186.75</v>
      </c>
      <c r="M113" s="41">
        <f t="shared" si="14"/>
        <v>18469.580000000002</v>
      </c>
      <c r="N113" s="93"/>
      <c r="O113" s="41"/>
      <c r="P113" s="41">
        <f t="shared" si="15"/>
        <v>0</v>
      </c>
      <c r="Q113" s="41">
        <f t="shared" si="16"/>
        <v>0</v>
      </c>
      <c r="R113" s="41">
        <f t="shared" si="17"/>
        <v>0</v>
      </c>
      <c r="S113" s="41">
        <f t="shared" si="18"/>
        <v>0</v>
      </c>
      <c r="T113" s="4" t="str">
        <f t="shared" si="19"/>
        <v>Leistungswert eintragen</v>
      </c>
      <c r="U113" s="4">
        <f t="shared" si="20"/>
        <v>0</v>
      </c>
    </row>
    <row r="114" spans="1:21" ht="10.5" x14ac:dyDescent="0.2">
      <c r="A114" s="22">
        <v>103</v>
      </c>
      <c r="B114" s="91" t="s">
        <v>438</v>
      </c>
      <c r="C114" s="92" t="s">
        <v>422</v>
      </c>
      <c r="D114" s="92" t="s">
        <v>275</v>
      </c>
      <c r="E114" s="92" t="s">
        <v>293</v>
      </c>
      <c r="F114" s="92" t="s">
        <v>287</v>
      </c>
      <c r="G114" s="62">
        <v>18.28</v>
      </c>
      <c r="H114" s="62"/>
      <c r="I114" s="62"/>
      <c r="J114" s="22" t="s">
        <v>270</v>
      </c>
      <c r="K114" s="62">
        <v>5</v>
      </c>
      <c r="L114" s="41">
        <f>VLOOKUP(K114,Reinigungstage!A10:D31,4,FALSE)</f>
        <v>186.75</v>
      </c>
      <c r="M114" s="41">
        <f t="shared" ref="M114:M138" si="21">ROUND(IF(L114=0,0,L114*G114),2)</f>
        <v>3413.79</v>
      </c>
      <c r="N114" s="93"/>
      <c r="O114" s="41"/>
      <c r="P114" s="41">
        <f t="shared" ref="P114:P138" si="22">ROUND(IF(N114=0,0,M114/N114),2)</f>
        <v>0</v>
      </c>
      <c r="Q114" s="41">
        <f t="shared" ref="Q114:Q138" si="23">IF(M114=0,0,IF(O114="",0,ROUND(P114*O114,2)))</f>
        <v>0</v>
      </c>
      <c r="R114" s="41">
        <f t="shared" ref="R114:R138" si="24">ROUND(IF(P114=0,0,P114/L114),2)</f>
        <v>0</v>
      </c>
      <c r="S114" s="41">
        <f t="shared" ref="S114:S138" si="25">ROUND(IF(Q114=0,0,Q114/L114),2)</f>
        <v>0</v>
      </c>
      <c r="T114" s="4" t="str">
        <f t="shared" ref="T114:T138" si="26">IF(M114=0,"",IF(N114=0,"Leistungswert eintragen",IF(O114=0,"SVS prüfen","")))</f>
        <v>Leistungswert eintragen</v>
      </c>
      <c r="U114" s="4">
        <f t="shared" ref="U114:U138" si="27">VLOOKUP(J114,$U$4:$V$12,2,FALSE)</f>
        <v>0</v>
      </c>
    </row>
    <row r="115" spans="1:21" ht="15" customHeight="1" x14ac:dyDescent="0.2">
      <c r="A115" s="22">
        <v>105</v>
      </c>
      <c r="B115" s="91" t="s">
        <v>440</v>
      </c>
      <c r="C115" s="92" t="s">
        <v>422</v>
      </c>
      <c r="D115" s="92" t="s">
        <v>275</v>
      </c>
      <c r="E115" s="92" t="s">
        <v>441</v>
      </c>
      <c r="F115" s="92" t="s">
        <v>277</v>
      </c>
      <c r="G115" s="62">
        <v>28.52</v>
      </c>
      <c r="H115" s="62"/>
      <c r="I115" s="62"/>
      <c r="J115" s="22" t="s">
        <v>273</v>
      </c>
      <c r="K115" s="62">
        <v>2</v>
      </c>
      <c r="L115" s="41">
        <f>VLOOKUP(K115,Reinigungstage!A10:D31,4,FALSE)</f>
        <v>77.59</v>
      </c>
      <c r="M115" s="41">
        <f t="shared" si="21"/>
        <v>2212.87</v>
      </c>
      <c r="N115" s="93"/>
      <c r="O115" s="41"/>
      <c r="P115" s="41">
        <f t="shared" si="22"/>
        <v>0</v>
      </c>
      <c r="Q115" s="41">
        <f t="shared" si="23"/>
        <v>0</v>
      </c>
      <c r="R115" s="41">
        <f t="shared" si="24"/>
        <v>0</v>
      </c>
      <c r="S115" s="41">
        <f t="shared" si="25"/>
        <v>0</v>
      </c>
      <c r="T115" s="4" t="str">
        <f t="shared" si="26"/>
        <v>Leistungswert eintragen</v>
      </c>
      <c r="U115" s="4">
        <f t="shared" si="27"/>
        <v>0</v>
      </c>
    </row>
    <row r="116" spans="1:21" ht="15" customHeight="1" x14ac:dyDescent="0.2">
      <c r="A116" s="22">
        <v>106</v>
      </c>
      <c r="B116" s="91" t="s">
        <v>442</v>
      </c>
      <c r="C116" s="92" t="s">
        <v>422</v>
      </c>
      <c r="D116" s="92" t="s">
        <v>275</v>
      </c>
      <c r="E116" s="92" t="s">
        <v>322</v>
      </c>
      <c r="F116" s="92" t="s">
        <v>227</v>
      </c>
      <c r="G116" s="62">
        <v>60.37</v>
      </c>
      <c r="H116" s="62"/>
      <c r="I116" s="62"/>
      <c r="J116" s="22" t="s">
        <v>265</v>
      </c>
      <c r="K116" s="62">
        <v>5</v>
      </c>
      <c r="L116" s="41">
        <f>VLOOKUP(K116,Reinigungstage!A10:D31,4,FALSE)</f>
        <v>186.75</v>
      </c>
      <c r="M116" s="41">
        <f t="shared" si="21"/>
        <v>11274.1</v>
      </c>
      <c r="N116" s="93"/>
      <c r="O116" s="41"/>
      <c r="P116" s="41">
        <f t="shared" si="22"/>
        <v>0</v>
      </c>
      <c r="Q116" s="41">
        <f t="shared" si="23"/>
        <v>0</v>
      </c>
      <c r="R116" s="41">
        <f t="shared" si="24"/>
        <v>0</v>
      </c>
      <c r="S116" s="41">
        <f t="shared" si="25"/>
        <v>0</v>
      </c>
      <c r="T116" s="4" t="str">
        <f t="shared" si="26"/>
        <v>Leistungswert eintragen</v>
      </c>
      <c r="U116" s="4">
        <f t="shared" si="27"/>
        <v>0</v>
      </c>
    </row>
    <row r="117" spans="1:21" ht="15" customHeight="1" x14ac:dyDescent="0.2">
      <c r="A117" s="22">
        <v>107</v>
      </c>
      <c r="B117" s="91" t="s">
        <v>443</v>
      </c>
      <c r="C117" s="92" t="s">
        <v>422</v>
      </c>
      <c r="D117" s="92" t="s">
        <v>275</v>
      </c>
      <c r="E117" s="92" t="s">
        <v>322</v>
      </c>
      <c r="F117" s="92" t="s">
        <v>227</v>
      </c>
      <c r="G117" s="62">
        <v>66.14</v>
      </c>
      <c r="H117" s="62"/>
      <c r="I117" s="62"/>
      <c r="J117" s="22" t="s">
        <v>265</v>
      </c>
      <c r="K117" s="62">
        <v>5</v>
      </c>
      <c r="L117" s="41">
        <f>VLOOKUP(K117,Reinigungstage!A10:D31,4,FALSE)</f>
        <v>186.75</v>
      </c>
      <c r="M117" s="41">
        <f t="shared" si="21"/>
        <v>12351.65</v>
      </c>
      <c r="N117" s="93"/>
      <c r="O117" s="41"/>
      <c r="P117" s="41">
        <f t="shared" si="22"/>
        <v>0</v>
      </c>
      <c r="Q117" s="41">
        <f t="shared" si="23"/>
        <v>0</v>
      </c>
      <c r="R117" s="41">
        <f t="shared" si="24"/>
        <v>0</v>
      </c>
      <c r="S117" s="41">
        <f t="shared" si="25"/>
        <v>0</v>
      </c>
      <c r="T117" s="4" t="str">
        <f t="shared" si="26"/>
        <v>Leistungswert eintragen</v>
      </c>
      <c r="U117" s="4">
        <f t="shared" si="27"/>
        <v>0</v>
      </c>
    </row>
    <row r="118" spans="1:21" ht="15" customHeight="1" x14ac:dyDescent="0.2">
      <c r="A118" s="22">
        <v>108</v>
      </c>
      <c r="B118" s="91" t="s">
        <v>444</v>
      </c>
      <c r="C118" s="92" t="s">
        <v>422</v>
      </c>
      <c r="D118" s="92" t="s">
        <v>275</v>
      </c>
      <c r="E118" s="92" t="s">
        <v>445</v>
      </c>
      <c r="F118" s="92" t="s">
        <v>227</v>
      </c>
      <c r="G118" s="62">
        <v>12.65</v>
      </c>
      <c r="H118" s="62"/>
      <c r="I118" s="62"/>
      <c r="J118" s="22" t="s">
        <v>273</v>
      </c>
      <c r="K118" s="62">
        <v>2</v>
      </c>
      <c r="L118" s="41">
        <f>VLOOKUP(K118,Reinigungstage!A10:D31,4,FALSE)</f>
        <v>77.59</v>
      </c>
      <c r="M118" s="41">
        <f t="shared" si="21"/>
        <v>981.51</v>
      </c>
      <c r="N118" s="93"/>
      <c r="O118" s="41"/>
      <c r="P118" s="41">
        <f t="shared" si="22"/>
        <v>0</v>
      </c>
      <c r="Q118" s="41">
        <f t="shared" si="23"/>
        <v>0</v>
      </c>
      <c r="R118" s="41">
        <f t="shared" si="24"/>
        <v>0</v>
      </c>
      <c r="S118" s="41">
        <f t="shared" si="25"/>
        <v>0</v>
      </c>
      <c r="T118" s="4" t="str">
        <f t="shared" si="26"/>
        <v>Leistungswert eintragen</v>
      </c>
      <c r="U118" s="4">
        <f t="shared" si="27"/>
        <v>0</v>
      </c>
    </row>
    <row r="119" spans="1:21" ht="15" customHeight="1" x14ac:dyDescent="0.2">
      <c r="A119" s="22">
        <v>109</v>
      </c>
      <c r="B119" s="91" t="s">
        <v>446</v>
      </c>
      <c r="C119" s="92" t="s">
        <v>422</v>
      </c>
      <c r="D119" s="92" t="s">
        <v>275</v>
      </c>
      <c r="E119" s="92" t="s">
        <v>322</v>
      </c>
      <c r="F119" s="92" t="s">
        <v>227</v>
      </c>
      <c r="G119" s="62">
        <v>50.05</v>
      </c>
      <c r="H119" s="62"/>
      <c r="I119" s="62"/>
      <c r="J119" s="22" t="s">
        <v>265</v>
      </c>
      <c r="K119" s="62">
        <v>5</v>
      </c>
      <c r="L119" s="41">
        <f>VLOOKUP(K119,Reinigungstage!A10:D31,4,FALSE)</f>
        <v>186.75</v>
      </c>
      <c r="M119" s="41">
        <f t="shared" si="21"/>
        <v>9346.84</v>
      </c>
      <c r="N119" s="93"/>
      <c r="O119" s="41"/>
      <c r="P119" s="41">
        <f t="shared" si="22"/>
        <v>0</v>
      </c>
      <c r="Q119" s="41">
        <f t="shared" si="23"/>
        <v>0</v>
      </c>
      <c r="R119" s="41">
        <f t="shared" si="24"/>
        <v>0</v>
      </c>
      <c r="S119" s="41">
        <f t="shared" si="25"/>
        <v>0</v>
      </c>
      <c r="T119" s="4" t="str">
        <f t="shared" si="26"/>
        <v>Leistungswert eintragen</v>
      </c>
      <c r="U119" s="4">
        <f t="shared" si="27"/>
        <v>0</v>
      </c>
    </row>
    <row r="120" spans="1:21" ht="15" customHeight="1" x14ac:dyDescent="0.2">
      <c r="A120" s="22">
        <v>110</v>
      </c>
      <c r="B120" s="91" t="s">
        <v>447</v>
      </c>
      <c r="C120" s="92" t="s">
        <v>422</v>
      </c>
      <c r="D120" s="92" t="s">
        <v>275</v>
      </c>
      <c r="E120" s="92" t="s">
        <v>448</v>
      </c>
      <c r="F120" s="92" t="s">
        <v>227</v>
      </c>
      <c r="G120" s="62">
        <v>19.46</v>
      </c>
      <c r="H120" s="62"/>
      <c r="I120" s="62"/>
      <c r="J120" s="22" t="s">
        <v>265</v>
      </c>
      <c r="K120" s="62">
        <v>5</v>
      </c>
      <c r="L120" s="41">
        <f>VLOOKUP(K120,Reinigungstage!A10:D31,4,FALSE)</f>
        <v>186.75</v>
      </c>
      <c r="M120" s="41">
        <f t="shared" si="21"/>
        <v>3634.16</v>
      </c>
      <c r="N120" s="93"/>
      <c r="O120" s="41"/>
      <c r="P120" s="41">
        <f t="shared" si="22"/>
        <v>0</v>
      </c>
      <c r="Q120" s="41">
        <f t="shared" si="23"/>
        <v>0</v>
      </c>
      <c r="R120" s="41">
        <f t="shared" si="24"/>
        <v>0</v>
      </c>
      <c r="S120" s="41">
        <f t="shared" si="25"/>
        <v>0</v>
      </c>
      <c r="T120" s="4" t="str">
        <f t="shared" si="26"/>
        <v>Leistungswert eintragen</v>
      </c>
      <c r="U120" s="4">
        <f t="shared" si="27"/>
        <v>0</v>
      </c>
    </row>
    <row r="121" spans="1:21" ht="15" customHeight="1" x14ac:dyDescent="0.2">
      <c r="A121" s="22">
        <v>111</v>
      </c>
      <c r="B121" s="91" t="s">
        <v>449</v>
      </c>
      <c r="C121" s="92" t="s">
        <v>422</v>
      </c>
      <c r="D121" s="92" t="s">
        <v>275</v>
      </c>
      <c r="E121" s="92" t="s">
        <v>322</v>
      </c>
      <c r="F121" s="92" t="s">
        <v>227</v>
      </c>
      <c r="G121" s="62">
        <v>50.05</v>
      </c>
      <c r="H121" s="62"/>
      <c r="I121" s="62"/>
      <c r="J121" s="22" t="s">
        <v>265</v>
      </c>
      <c r="K121" s="62">
        <v>5</v>
      </c>
      <c r="L121" s="41">
        <f>VLOOKUP(K121,Reinigungstage!A10:D31,4,FALSE)</f>
        <v>186.75</v>
      </c>
      <c r="M121" s="41">
        <f t="shared" si="21"/>
        <v>9346.84</v>
      </c>
      <c r="N121" s="93"/>
      <c r="O121" s="41"/>
      <c r="P121" s="41">
        <f t="shared" si="22"/>
        <v>0</v>
      </c>
      <c r="Q121" s="41">
        <f t="shared" si="23"/>
        <v>0</v>
      </c>
      <c r="R121" s="41">
        <f t="shared" si="24"/>
        <v>0</v>
      </c>
      <c r="S121" s="41">
        <f t="shared" si="25"/>
        <v>0</v>
      </c>
      <c r="T121" s="4" t="str">
        <f t="shared" si="26"/>
        <v>Leistungswert eintragen</v>
      </c>
      <c r="U121" s="4">
        <f t="shared" si="27"/>
        <v>0</v>
      </c>
    </row>
    <row r="122" spans="1:21" ht="15" customHeight="1" x14ac:dyDescent="0.2">
      <c r="A122" s="22">
        <v>112</v>
      </c>
      <c r="B122" s="91" t="s">
        <v>450</v>
      </c>
      <c r="C122" s="92" t="s">
        <v>422</v>
      </c>
      <c r="D122" s="92" t="s">
        <v>275</v>
      </c>
      <c r="E122" s="92" t="s">
        <v>314</v>
      </c>
      <c r="F122" s="92" t="s">
        <v>227</v>
      </c>
      <c r="G122" s="62">
        <v>169.14</v>
      </c>
      <c r="H122" s="62"/>
      <c r="I122" s="62"/>
      <c r="J122" s="22" t="s">
        <v>264</v>
      </c>
      <c r="K122" s="62">
        <v>5</v>
      </c>
      <c r="L122" s="41">
        <f>VLOOKUP(K122,Reinigungstage!A10:D31,4,FALSE)</f>
        <v>186.75</v>
      </c>
      <c r="M122" s="41">
        <f t="shared" si="21"/>
        <v>31586.9</v>
      </c>
      <c r="N122" s="93"/>
      <c r="O122" s="41"/>
      <c r="P122" s="41">
        <f t="shared" si="22"/>
        <v>0</v>
      </c>
      <c r="Q122" s="41">
        <f t="shared" si="23"/>
        <v>0</v>
      </c>
      <c r="R122" s="41">
        <f t="shared" si="24"/>
        <v>0</v>
      </c>
      <c r="S122" s="41">
        <f t="shared" si="25"/>
        <v>0</v>
      </c>
      <c r="T122" s="4" t="str">
        <f t="shared" si="26"/>
        <v>Leistungswert eintragen</v>
      </c>
      <c r="U122" s="4">
        <f t="shared" si="27"/>
        <v>0</v>
      </c>
    </row>
    <row r="123" spans="1:21" ht="15" customHeight="1" x14ac:dyDescent="0.2">
      <c r="A123" s="22">
        <v>113</v>
      </c>
      <c r="B123" s="91" t="s">
        <v>451</v>
      </c>
      <c r="C123" s="92" t="s">
        <v>422</v>
      </c>
      <c r="D123" s="92" t="s">
        <v>275</v>
      </c>
      <c r="E123" s="92" t="s">
        <v>226</v>
      </c>
      <c r="F123" s="92" t="s">
        <v>287</v>
      </c>
      <c r="G123" s="62">
        <v>56.58</v>
      </c>
      <c r="H123" s="62"/>
      <c r="I123" s="62"/>
      <c r="J123" s="22" t="s">
        <v>264</v>
      </c>
      <c r="K123" s="62">
        <v>5</v>
      </c>
      <c r="L123" s="41">
        <f>VLOOKUP(K123,Reinigungstage!A10:D31,4,FALSE)</f>
        <v>186.75</v>
      </c>
      <c r="M123" s="41">
        <f t="shared" si="21"/>
        <v>10566.32</v>
      </c>
      <c r="N123" s="93"/>
      <c r="O123" s="41"/>
      <c r="P123" s="41">
        <f t="shared" si="22"/>
        <v>0</v>
      </c>
      <c r="Q123" s="41">
        <f t="shared" si="23"/>
        <v>0</v>
      </c>
      <c r="R123" s="41">
        <f t="shared" si="24"/>
        <v>0</v>
      </c>
      <c r="S123" s="41">
        <f t="shared" si="25"/>
        <v>0</v>
      </c>
      <c r="T123" s="4" t="str">
        <f t="shared" si="26"/>
        <v>Leistungswert eintragen</v>
      </c>
      <c r="U123" s="4">
        <f t="shared" si="27"/>
        <v>0</v>
      </c>
    </row>
    <row r="124" spans="1:21" ht="15" customHeight="1" x14ac:dyDescent="0.2">
      <c r="A124" s="22">
        <v>114</v>
      </c>
      <c r="B124" s="91" t="s">
        <v>452</v>
      </c>
      <c r="C124" s="92" t="s">
        <v>422</v>
      </c>
      <c r="D124" s="92" t="s">
        <v>275</v>
      </c>
      <c r="E124" s="128" t="s">
        <v>316</v>
      </c>
      <c r="F124" s="128" t="s">
        <v>287</v>
      </c>
      <c r="G124" s="129">
        <v>4.0199999999999996</v>
      </c>
      <c r="H124" s="129"/>
      <c r="I124" s="129"/>
      <c r="J124" s="130" t="s">
        <v>268</v>
      </c>
      <c r="K124" s="62">
        <v>0</v>
      </c>
      <c r="L124" s="41">
        <f>VLOOKUP(K124,Reinigungstage!A10:D31,4,FALSE)</f>
        <v>0</v>
      </c>
      <c r="M124" s="41">
        <f t="shared" si="21"/>
        <v>0</v>
      </c>
      <c r="N124" s="93"/>
      <c r="O124" s="41"/>
      <c r="P124" s="41">
        <f t="shared" si="22"/>
        <v>0</v>
      </c>
      <c r="Q124" s="41">
        <f t="shared" si="23"/>
        <v>0</v>
      </c>
      <c r="R124" s="41">
        <f t="shared" si="24"/>
        <v>0</v>
      </c>
      <c r="S124" s="41">
        <f t="shared" si="25"/>
        <v>0</v>
      </c>
      <c r="T124" s="4" t="str">
        <f t="shared" si="26"/>
        <v/>
      </c>
      <c r="U124" s="4">
        <f t="shared" si="27"/>
        <v>0</v>
      </c>
    </row>
    <row r="125" spans="1:21" ht="15" customHeight="1" x14ac:dyDescent="0.2">
      <c r="A125" s="22">
        <v>115</v>
      </c>
      <c r="B125" s="91" t="s">
        <v>453</v>
      </c>
      <c r="C125" s="92" t="s">
        <v>422</v>
      </c>
      <c r="D125" s="92" t="s">
        <v>275</v>
      </c>
      <c r="E125" s="92" t="s">
        <v>235</v>
      </c>
      <c r="F125" s="92" t="s">
        <v>287</v>
      </c>
      <c r="G125" s="62">
        <v>20.28</v>
      </c>
      <c r="H125" s="62"/>
      <c r="I125" s="62"/>
      <c r="J125" s="22" t="s">
        <v>267</v>
      </c>
      <c r="K125" s="62">
        <v>5</v>
      </c>
      <c r="L125" s="41">
        <f>VLOOKUP(K125,Reinigungstage!A10:D31,4,FALSE)</f>
        <v>186.75</v>
      </c>
      <c r="M125" s="41">
        <f t="shared" si="21"/>
        <v>3787.29</v>
      </c>
      <c r="N125" s="93"/>
      <c r="O125" s="41"/>
      <c r="P125" s="41">
        <f t="shared" si="22"/>
        <v>0</v>
      </c>
      <c r="Q125" s="41">
        <f t="shared" si="23"/>
        <v>0</v>
      </c>
      <c r="R125" s="41">
        <f t="shared" si="24"/>
        <v>0</v>
      </c>
      <c r="S125" s="41">
        <f t="shared" si="25"/>
        <v>0</v>
      </c>
      <c r="T125" s="4" t="str">
        <f t="shared" si="26"/>
        <v>Leistungswert eintragen</v>
      </c>
      <c r="U125" s="4">
        <f t="shared" si="27"/>
        <v>0</v>
      </c>
    </row>
    <row r="126" spans="1:21" ht="15" customHeight="1" x14ac:dyDescent="0.2">
      <c r="A126" s="22">
        <v>116</v>
      </c>
      <c r="B126" s="91" t="s">
        <v>454</v>
      </c>
      <c r="C126" s="92" t="s">
        <v>422</v>
      </c>
      <c r="D126" s="92" t="s">
        <v>275</v>
      </c>
      <c r="E126" s="92" t="s">
        <v>237</v>
      </c>
      <c r="F126" s="92" t="s">
        <v>287</v>
      </c>
      <c r="G126" s="62">
        <v>14.55</v>
      </c>
      <c r="H126" s="62"/>
      <c r="I126" s="62"/>
      <c r="J126" s="22" t="s">
        <v>267</v>
      </c>
      <c r="K126" s="62">
        <v>5</v>
      </c>
      <c r="L126" s="41">
        <f>VLOOKUP(K126,Reinigungstage!A10:D31,4,FALSE)</f>
        <v>186.75</v>
      </c>
      <c r="M126" s="41">
        <f t="shared" si="21"/>
        <v>2717.21</v>
      </c>
      <c r="N126" s="93"/>
      <c r="O126" s="41"/>
      <c r="P126" s="41">
        <f t="shared" si="22"/>
        <v>0</v>
      </c>
      <c r="Q126" s="41">
        <f t="shared" si="23"/>
        <v>0</v>
      </c>
      <c r="R126" s="41">
        <f t="shared" si="24"/>
        <v>0</v>
      </c>
      <c r="S126" s="41">
        <f t="shared" si="25"/>
        <v>0</v>
      </c>
      <c r="T126" s="4" t="str">
        <f t="shared" si="26"/>
        <v>Leistungswert eintragen</v>
      </c>
      <c r="U126" s="4">
        <f t="shared" si="27"/>
        <v>0</v>
      </c>
    </row>
    <row r="127" spans="1:21" ht="15" customHeight="1" x14ac:dyDescent="0.2">
      <c r="A127" s="22">
        <v>117</v>
      </c>
      <c r="B127" s="91" t="s">
        <v>455</v>
      </c>
      <c r="C127" s="92" t="s">
        <v>422</v>
      </c>
      <c r="D127" s="92" t="s">
        <v>275</v>
      </c>
      <c r="E127" s="92" t="s">
        <v>384</v>
      </c>
      <c r="F127" s="92" t="s">
        <v>287</v>
      </c>
      <c r="G127" s="62">
        <v>16.86</v>
      </c>
      <c r="H127" s="62"/>
      <c r="I127" s="62"/>
      <c r="J127" s="22" t="s">
        <v>267</v>
      </c>
      <c r="K127" s="62">
        <v>5</v>
      </c>
      <c r="L127" s="41">
        <f>VLOOKUP(K127,Reinigungstage!A10:D31,4,FALSE)</f>
        <v>186.75</v>
      </c>
      <c r="M127" s="41">
        <f t="shared" si="21"/>
        <v>3148.61</v>
      </c>
      <c r="N127" s="93"/>
      <c r="O127" s="41"/>
      <c r="P127" s="41">
        <f t="shared" si="22"/>
        <v>0</v>
      </c>
      <c r="Q127" s="41">
        <f t="shared" si="23"/>
        <v>0</v>
      </c>
      <c r="R127" s="41">
        <f t="shared" si="24"/>
        <v>0</v>
      </c>
      <c r="S127" s="41">
        <f t="shared" si="25"/>
        <v>0</v>
      </c>
      <c r="T127" s="4" t="str">
        <f t="shared" si="26"/>
        <v>Leistungswert eintragen</v>
      </c>
      <c r="U127" s="4">
        <f t="shared" si="27"/>
        <v>0</v>
      </c>
    </row>
    <row r="128" spans="1:21" ht="15" customHeight="1" x14ac:dyDescent="0.2">
      <c r="A128" s="22">
        <v>118</v>
      </c>
      <c r="B128" s="91" t="s">
        <v>456</v>
      </c>
      <c r="C128" s="92" t="s">
        <v>422</v>
      </c>
      <c r="D128" s="92" t="s">
        <v>275</v>
      </c>
      <c r="E128" s="92" t="s">
        <v>239</v>
      </c>
      <c r="F128" s="92" t="s">
        <v>287</v>
      </c>
      <c r="G128" s="62">
        <v>11.7</v>
      </c>
      <c r="H128" s="62"/>
      <c r="I128" s="62"/>
      <c r="J128" s="22" t="s">
        <v>267</v>
      </c>
      <c r="K128" s="62">
        <v>5</v>
      </c>
      <c r="L128" s="41">
        <f>VLOOKUP(K128,Reinigungstage!A10:D31,4,FALSE)</f>
        <v>186.75</v>
      </c>
      <c r="M128" s="41">
        <f t="shared" si="21"/>
        <v>2184.98</v>
      </c>
      <c r="N128" s="93"/>
      <c r="O128" s="41"/>
      <c r="P128" s="41">
        <f t="shared" si="22"/>
        <v>0</v>
      </c>
      <c r="Q128" s="41">
        <f t="shared" si="23"/>
        <v>0</v>
      </c>
      <c r="R128" s="41">
        <f t="shared" si="24"/>
        <v>0</v>
      </c>
      <c r="S128" s="41">
        <f t="shared" si="25"/>
        <v>0</v>
      </c>
      <c r="T128" s="4" t="str">
        <f t="shared" si="26"/>
        <v>Leistungswert eintragen</v>
      </c>
      <c r="U128" s="4">
        <f t="shared" si="27"/>
        <v>0</v>
      </c>
    </row>
    <row r="129" spans="1:21" ht="15" customHeight="1" x14ac:dyDescent="0.2">
      <c r="A129" s="22">
        <v>119</v>
      </c>
      <c r="B129" s="91" t="s">
        <v>457</v>
      </c>
      <c r="C129" s="92" t="s">
        <v>422</v>
      </c>
      <c r="D129" s="92" t="s">
        <v>275</v>
      </c>
      <c r="E129" s="92" t="s">
        <v>322</v>
      </c>
      <c r="F129" s="92" t="s">
        <v>277</v>
      </c>
      <c r="G129" s="62">
        <v>50.05</v>
      </c>
      <c r="H129" s="62"/>
      <c r="I129" s="62"/>
      <c r="J129" s="22" t="s">
        <v>265</v>
      </c>
      <c r="K129" s="62">
        <v>5</v>
      </c>
      <c r="L129" s="41">
        <f>VLOOKUP(K129,Reinigungstage!A10:D31,4,FALSE)</f>
        <v>186.75</v>
      </c>
      <c r="M129" s="41">
        <f t="shared" si="21"/>
        <v>9346.84</v>
      </c>
      <c r="N129" s="93"/>
      <c r="O129" s="41"/>
      <c r="P129" s="41">
        <f t="shared" si="22"/>
        <v>0</v>
      </c>
      <c r="Q129" s="41">
        <f t="shared" si="23"/>
        <v>0</v>
      </c>
      <c r="R129" s="41">
        <f t="shared" si="24"/>
        <v>0</v>
      </c>
      <c r="S129" s="41">
        <f t="shared" si="25"/>
        <v>0</v>
      </c>
      <c r="T129" s="4" t="str">
        <f t="shared" si="26"/>
        <v>Leistungswert eintragen</v>
      </c>
      <c r="U129" s="4">
        <f t="shared" si="27"/>
        <v>0</v>
      </c>
    </row>
    <row r="130" spans="1:21" ht="15" customHeight="1" x14ac:dyDescent="0.2">
      <c r="A130" s="22">
        <v>120</v>
      </c>
      <c r="B130" s="91" t="s">
        <v>458</v>
      </c>
      <c r="C130" s="92" t="s">
        <v>422</v>
      </c>
      <c r="D130" s="92" t="s">
        <v>275</v>
      </c>
      <c r="E130" s="92" t="s">
        <v>322</v>
      </c>
      <c r="F130" s="92" t="s">
        <v>227</v>
      </c>
      <c r="G130" s="62">
        <v>50.05</v>
      </c>
      <c r="H130" s="62"/>
      <c r="I130" s="62"/>
      <c r="J130" s="22" t="s">
        <v>265</v>
      </c>
      <c r="K130" s="62">
        <v>5</v>
      </c>
      <c r="L130" s="41">
        <f>VLOOKUP(K130,Reinigungstage!A10:D31,4,FALSE)</f>
        <v>186.75</v>
      </c>
      <c r="M130" s="41">
        <f t="shared" si="21"/>
        <v>9346.84</v>
      </c>
      <c r="N130" s="93"/>
      <c r="O130" s="41"/>
      <c r="P130" s="41">
        <f t="shared" si="22"/>
        <v>0</v>
      </c>
      <c r="Q130" s="41">
        <f t="shared" si="23"/>
        <v>0</v>
      </c>
      <c r="R130" s="41">
        <f t="shared" si="24"/>
        <v>0</v>
      </c>
      <c r="S130" s="41">
        <f t="shared" si="25"/>
        <v>0</v>
      </c>
      <c r="T130" s="4" t="str">
        <f t="shared" si="26"/>
        <v>Leistungswert eintragen</v>
      </c>
      <c r="U130" s="4">
        <f t="shared" si="27"/>
        <v>0</v>
      </c>
    </row>
    <row r="131" spans="1:21" ht="15" customHeight="1" x14ac:dyDescent="0.2">
      <c r="A131" s="22">
        <v>121</v>
      </c>
      <c r="B131" s="91" t="s">
        <v>459</v>
      </c>
      <c r="C131" s="92" t="s">
        <v>422</v>
      </c>
      <c r="D131" s="92" t="s">
        <v>275</v>
      </c>
      <c r="E131" s="92" t="s">
        <v>460</v>
      </c>
      <c r="F131" s="92" t="s">
        <v>227</v>
      </c>
      <c r="G131" s="62">
        <v>19.46</v>
      </c>
      <c r="H131" s="62"/>
      <c r="I131" s="62"/>
      <c r="J131" s="22" t="s">
        <v>265</v>
      </c>
      <c r="K131" s="62">
        <v>5</v>
      </c>
      <c r="L131" s="41">
        <f>VLOOKUP(K131,Reinigungstage!A10:D31,4,FALSE)</f>
        <v>186.75</v>
      </c>
      <c r="M131" s="41">
        <f t="shared" si="21"/>
        <v>3634.16</v>
      </c>
      <c r="N131" s="93"/>
      <c r="O131" s="41"/>
      <c r="P131" s="41">
        <f t="shared" si="22"/>
        <v>0</v>
      </c>
      <c r="Q131" s="41">
        <f t="shared" si="23"/>
        <v>0</v>
      </c>
      <c r="R131" s="41">
        <f t="shared" si="24"/>
        <v>0</v>
      </c>
      <c r="S131" s="41">
        <f t="shared" si="25"/>
        <v>0</v>
      </c>
      <c r="T131" s="4" t="str">
        <f t="shared" si="26"/>
        <v>Leistungswert eintragen</v>
      </c>
      <c r="U131" s="4">
        <f t="shared" si="27"/>
        <v>0</v>
      </c>
    </row>
    <row r="132" spans="1:21" ht="15" customHeight="1" x14ac:dyDescent="0.2">
      <c r="A132" s="22">
        <v>122</v>
      </c>
      <c r="B132" s="91" t="s">
        <v>461</v>
      </c>
      <c r="C132" s="92" t="s">
        <v>422</v>
      </c>
      <c r="D132" s="92" t="s">
        <v>275</v>
      </c>
      <c r="E132" s="92" t="s">
        <v>322</v>
      </c>
      <c r="F132" s="92" t="s">
        <v>227</v>
      </c>
      <c r="G132" s="62">
        <v>50.05</v>
      </c>
      <c r="H132" s="62"/>
      <c r="I132" s="62"/>
      <c r="J132" s="22" t="s">
        <v>265</v>
      </c>
      <c r="K132" s="62">
        <v>5</v>
      </c>
      <c r="L132" s="41">
        <f>VLOOKUP(K132,Reinigungstage!A10:D31,4,FALSE)</f>
        <v>186.75</v>
      </c>
      <c r="M132" s="41">
        <f t="shared" si="21"/>
        <v>9346.84</v>
      </c>
      <c r="N132" s="93"/>
      <c r="O132" s="41"/>
      <c r="P132" s="41">
        <f t="shared" si="22"/>
        <v>0</v>
      </c>
      <c r="Q132" s="41">
        <f t="shared" si="23"/>
        <v>0</v>
      </c>
      <c r="R132" s="41">
        <f t="shared" si="24"/>
        <v>0</v>
      </c>
      <c r="S132" s="41">
        <f t="shared" si="25"/>
        <v>0</v>
      </c>
      <c r="T132" s="4" t="str">
        <f t="shared" si="26"/>
        <v>Leistungswert eintragen</v>
      </c>
      <c r="U132" s="4">
        <f t="shared" si="27"/>
        <v>0</v>
      </c>
    </row>
    <row r="133" spans="1:21" ht="15" customHeight="1" x14ac:dyDescent="0.2">
      <c r="A133" s="22">
        <v>123</v>
      </c>
      <c r="B133" s="91" t="s">
        <v>462</v>
      </c>
      <c r="C133" s="92" t="s">
        <v>422</v>
      </c>
      <c r="D133" s="92" t="s">
        <v>275</v>
      </c>
      <c r="E133" s="92" t="s">
        <v>328</v>
      </c>
      <c r="F133" s="92" t="s">
        <v>287</v>
      </c>
      <c r="G133" s="62">
        <v>173.49</v>
      </c>
      <c r="H133" s="62"/>
      <c r="I133" s="62"/>
      <c r="J133" s="22" t="s">
        <v>264</v>
      </c>
      <c r="K133" s="62">
        <v>5</v>
      </c>
      <c r="L133" s="41">
        <f>VLOOKUP(K133,Reinigungstage!A10:D31,4,FALSE)</f>
        <v>186.75</v>
      </c>
      <c r="M133" s="41">
        <f t="shared" si="21"/>
        <v>32399.26</v>
      </c>
      <c r="N133" s="93"/>
      <c r="O133" s="41"/>
      <c r="P133" s="41">
        <f t="shared" si="22"/>
        <v>0</v>
      </c>
      <c r="Q133" s="41">
        <f t="shared" si="23"/>
        <v>0</v>
      </c>
      <c r="R133" s="41">
        <f t="shared" si="24"/>
        <v>0</v>
      </c>
      <c r="S133" s="41">
        <f t="shared" si="25"/>
        <v>0</v>
      </c>
      <c r="T133" s="4" t="str">
        <f t="shared" si="26"/>
        <v>Leistungswert eintragen</v>
      </c>
      <c r="U133" s="4">
        <f t="shared" si="27"/>
        <v>0</v>
      </c>
    </row>
    <row r="134" spans="1:21" ht="15" customHeight="1" x14ac:dyDescent="0.2">
      <c r="A134" s="22">
        <v>124</v>
      </c>
      <c r="B134" s="91" t="s">
        <v>463</v>
      </c>
      <c r="C134" s="92" t="s">
        <v>422</v>
      </c>
      <c r="D134" s="92" t="s">
        <v>275</v>
      </c>
      <c r="E134" s="92" t="s">
        <v>464</v>
      </c>
      <c r="F134" s="92" t="s">
        <v>287</v>
      </c>
      <c r="G134" s="62">
        <v>30.72</v>
      </c>
      <c r="H134" s="62"/>
      <c r="I134" s="62"/>
      <c r="J134" s="22" t="s">
        <v>264</v>
      </c>
      <c r="K134" s="62">
        <v>5</v>
      </c>
      <c r="L134" s="41">
        <f>VLOOKUP(K134,Reinigungstage!A10:D31,4,FALSE)</f>
        <v>186.75</v>
      </c>
      <c r="M134" s="41">
        <f t="shared" si="21"/>
        <v>5736.96</v>
      </c>
      <c r="N134" s="93"/>
      <c r="O134" s="41"/>
      <c r="P134" s="41">
        <f t="shared" si="22"/>
        <v>0</v>
      </c>
      <c r="Q134" s="41">
        <f t="shared" si="23"/>
        <v>0</v>
      </c>
      <c r="R134" s="41">
        <f t="shared" si="24"/>
        <v>0</v>
      </c>
      <c r="S134" s="41">
        <f t="shared" si="25"/>
        <v>0</v>
      </c>
      <c r="T134" s="4" t="str">
        <f t="shared" si="26"/>
        <v>Leistungswert eintragen</v>
      </c>
      <c r="U134" s="4">
        <f t="shared" si="27"/>
        <v>0</v>
      </c>
    </row>
    <row r="135" spans="1:21" ht="24.95" customHeight="1" x14ac:dyDescent="0.2">
      <c r="A135" s="22">
        <v>125</v>
      </c>
      <c r="B135" s="91" t="s">
        <v>465</v>
      </c>
      <c r="C135" s="92" t="s">
        <v>422</v>
      </c>
      <c r="D135" s="92" t="s">
        <v>275</v>
      </c>
      <c r="E135" s="92" t="s">
        <v>330</v>
      </c>
      <c r="F135" s="92" t="s">
        <v>227</v>
      </c>
      <c r="G135" s="62">
        <v>52.2</v>
      </c>
      <c r="H135" s="62"/>
      <c r="I135" s="62"/>
      <c r="J135" s="22" t="s">
        <v>265</v>
      </c>
      <c r="K135" s="62">
        <v>5</v>
      </c>
      <c r="L135" s="41">
        <f>VLOOKUP(K135,Reinigungstage!A10:D31,4,FALSE)</f>
        <v>186.75</v>
      </c>
      <c r="M135" s="41">
        <f t="shared" si="21"/>
        <v>9748.35</v>
      </c>
      <c r="N135" s="93"/>
      <c r="O135" s="41"/>
      <c r="P135" s="41">
        <f t="shared" si="22"/>
        <v>0</v>
      </c>
      <c r="Q135" s="41">
        <f t="shared" si="23"/>
        <v>0</v>
      </c>
      <c r="R135" s="41">
        <f t="shared" si="24"/>
        <v>0</v>
      </c>
      <c r="S135" s="41">
        <f t="shared" si="25"/>
        <v>0</v>
      </c>
      <c r="T135" s="4" t="str">
        <f t="shared" si="26"/>
        <v>Leistungswert eintragen</v>
      </c>
      <c r="U135" s="4">
        <f t="shared" si="27"/>
        <v>0</v>
      </c>
    </row>
    <row r="136" spans="1:21" ht="24.95" customHeight="1" x14ac:dyDescent="0.2">
      <c r="A136" s="22">
        <v>126</v>
      </c>
      <c r="B136" s="91" t="s">
        <v>466</v>
      </c>
      <c r="C136" s="92" t="s">
        <v>422</v>
      </c>
      <c r="D136" s="92" t="s">
        <v>275</v>
      </c>
      <c r="E136" s="92" t="s">
        <v>330</v>
      </c>
      <c r="F136" s="92" t="s">
        <v>227</v>
      </c>
      <c r="G136" s="62">
        <v>54.67</v>
      </c>
      <c r="H136" s="62"/>
      <c r="I136" s="62"/>
      <c r="J136" s="22" t="s">
        <v>265</v>
      </c>
      <c r="K136" s="62">
        <v>5</v>
      </c>
      <c r="L136" s="41">
        <f>VLOOKUP(K136,Reinigungstage!A10:D31,4,FALSE)</f>
        <v>186.75</v>
      </c>
      <c r="M136" s="41">
        <f t="shared" si="21"/>
        <v>10209.620000000001</v>
      </c>
      <c r="N136" s="93"/>
      <c r="O136" s="41"/>
      <c r="P136" s="41">
        <f t="shared" si="22"/>
        <v>0</v>
      </c>
      <c r="Q136" s="41">
        <f t="shared" si="23"/>
        <v>0</v>
      </c>
      <c r="R136" s="41">
        <f t="shared" si="24"/>
        <v>0</v>
      </c>
      <c r="S136" s="41">
        <f t="shared" si="25"/>
        <v>0</v>
      </c>
      <c r="T136" s="4" t="str">
        <f t="shared" si="26"/>
        <v>Leistungswert eintragen</v>
      </c>
      <c r="U136" s="4">
        <f t="shared" si="27"/>
        <v>0</v>
      </c>
    </row>
    <row r="137" spans="1:21" ht="24.95" customHeight="1" x14ac:dyDescent="0.2">
      <c r="A137" s="22">
        <v>127</v>
      </c>
      <c r="B137" s="91" t="s">
        <v>467</v>
      </c>
      <c r="C137" s="92" t="s">
        <v>422</v>
      </c>
      <c r="D137" s="92" t="s">
        <v>275</v>
      </c>
      <c r="E137" s="92" t="s">
        <v>330</v>
      </c>
      <c r="F137" s="92" t="s">
        <v>227</v>
      </c>
      <c r="G137" s="62">
        <v>54.82</v>
      </c>
      <c r="H137" s="62"/>
      <c r="I137" s="62"/>
      <c r="J137" s="22" t="s">
        <v>265</v>
      </c>
      <c r="K137" s="62">
        <v>5</v>
      </c>
      <c r="L137" s="41">
        <f>VLOOKUP(K137,Reinigungstage!A10:D31,4,FALSE)</f>
        <v>186.75</v>
      </c>
      <c r="M137" s="41">
        <f t="shared" si="21"/>
        <v>10237.64</v>
      </c>
      <c r="N137" s="93"/>
      <c r="O137" s="41"/>
      <c r="P137" s="41">
        <f t="shared" si="22"/>
        <v>0</v>
      </c>
      <c r="Q137" s="41">
        <f t="shared" si="23"/>
        <v>0</v>
      </c>
      <c r="R137" s="41">
        <f t="shared" si="24"/>
        <v>0</v>
      </c>
      <c r="S137" s="41">
        <f t="shared" si="25"/>
        <v>0</v>
      </c>
      <c r="T137" s="4" t="str">
        <f t="shared" si="26"/>
        <v>Leistungswert eintragen</v>
      </c>
      <c r="U137" s="4">
        <f t="shared" si="27"/>
        <v>0</v>
      </c>
    </row>
    <row r="138" spans="1:21" ht="24.95" customHeight="1" x14ac:dyDescent="0.2">
      <c r="A138" s="22">
        <v>128</v>
      </c>
      <c r="B138" s="91" t="s">
        <v>468</v>
      </c>
      <c r="C138" s="92" t="s">
        <v>422</v>
      </c>
      <c r="D138" s="92" t="s">
        <v>275</v>
      </c>
      <c r="E138" s="92" t="s">
        <v>330</v>
      </c>
      <c r="F138" s="92" t="s">
        <v>227</v>
      </c>
      <c r="G138" s="62">
        <v>54.28</v>
      </c>
      <c r="H138" s="62"/>
      <c r="I138" s="62"/>
      <c r="J138" s="22" t="s">
        <v>265</v>
      </c>
      <c r="K138" s="62">
        <v>5</v>
      </c>
      <c r="L138" s="41">
        <f>VLOOKUP(K138,Reinigungstage!A10:D31,4,FALSE)</f>
        <v>186.75</v>
      </c>
      <c r="M138" s="41">
        <f t="shared" si="21"/>
        <v>10136.790000000001</v>
      </c>
      <c r="N138" s="93"/>
      <c r="O138" s="41"/>
      <c r="P138" s="41">
        <f t="shared" si="22"/>
        <v>0</v>
      </c>
      <c r="Q138" s="41">
        <f t="shared" si="23"/>
        <v>0</v>
      </c>
      <c r="R138" s="41">
        <f t="shared" si="24"/>
        <v>0</v>
      </c>
      <c r="S138" s="41">
        <f t="shared" si="25"/>
        <v>0</v>
      </c>
      <c r="T138" s="4" t="str">
        <f t="shared" si="26"/>
        <v>Leistungswert eintragen</v>
      </c>
      <c r="U138" s="4">
        <f t="shared" si="27"/>
        <v>0</v>
      </c>
    </row>
    <row r="139" spans="1:21" ht="24.95" customHeight="1" x14ac:dyDescent="0.2">
      <c r="A139" s="22">
        <v>129</v>
      </c>
      <c r="B139" s="91" t="s">
        <v>469</v>
      </c>
      <c r="C139" s="92" t="s">
        <v>422</v>
      </c>
      <c r="D139" s="92" t="s">
        <v>275</v>
      </c>
      <c r="E139" s="92" t="s">
        <v>330</v>
      </c>
      <c r="F139" s="92" t="s">
        <v>227</v>
      </c>
      <c r="G139" s="62">
        <v>74.27</v>
      </c>
      <c r="H139" s="62"/>
      <c r="I139" s="62"/>
      <c r="J139" s="22" t="s">
        <v>265</v>
      </c>
      <c r="K139" s="62">
        <v>5</v>
      </c>
      <c r="L139" s="41">
        <f>VLOOKUP(K139,Reinigungstage!A10:D31,4,FALSE)</f>
        <v>186.75</v>
      </c>
      <c r="M139" s="41">
        <f t="shared" ref="M139:M152" si="28">ROUND(IF(L139=0,0,L139*G139),2)</f>
        <v>13869.92</v>
      </c>
      <c r="N139" s="93"/>
      <c r="O139" s="41"/>
      <c r="P139" s="41">
        <f t="shared" ref="P139:P152" si="29">ROUND(IF(N139=0,0,M139/N139),2)</f>
        <v>0</v>
      </c>
      <c r="Q139" s="41">
        <f t="shared" ref="Q139:Q152" si="30">IF(M139=0,0,IF(O139="",0,ROUND(P139*O139,2)))</f>
        <v>0</v>
      </c>
      <c r="R139" s="41">
        <f t="shared" ref="R139:R152" si="31">ROUND(IF(P139=0,0,P139/L139),2)</f>
        <v>0</v>
      </c>
      <c r="S139" s="41">
        <f t="shared" ref="S139:S152" si="32">ROUND(IF(Q139=0,0,Q139/L139),2)</f>
        <v>0</v>
      </c>
      <c r="T139" s="4" t="str">
        <f t="shared" ref="T139:T152" si="33">IF(M139=0,"",IF(N139=0,"Leistungswert eintragen",IF(O139=0,"SVS prüfen","")))</f>
        <v>Leistungswert eintragen</v>
      </c>
      <c r="U139" s="4">
        <f t="shared" ref="U139:U152" si="34">VLOOKUP(J139,$U$4:$V$12,2,FALSE)</f>
        <v>0</v>
      </c>
    </row>
    <row r="140" spans="1:21" ht="15" customHeight="1" x14ac:dyDescent="0.2">
      <c r="A140" s="22">
        <v>130</v>
      </c>
      <c r="B140" s="91" t="s">
        <v>470</v>
      </c>
      <c r="C140" s="92" t="s">
        <v>422</v>
      </c>
      <c r="D140" s="92" t="s">
        <v>275</v>
      </c>
      <c r="E140" s="92" t="s">
        <v>337</v>
      </c>
      <c r="F140" s="92" t="s">
        <v>287</v>
      </c>
      <c r="G140" s="62">
        <v>113.77</v>
      </c>
      <c r="H140" s="62"/>
      <c r="I140" s="62"/>
      <c r="J140" s="22" t="s">
        <v>264</v>
      </c>
      <c r="K140" s="62">
        <v>5</v>
      </c>
      <c r="L140" s="41">
        <f>VLOOKUP(K140,Reinigungstage!A10:D31,4,FALSE)</f>
        <v>186.75</v>
      </c>
      <c r="M140" s="41">
        <f t="shared" si="28"/>
        <v>21246.55</v>
      </c>
      <c r="N140" s="93"/>
      <c r="O140" s="41"/>
      <c r="P140" s="41">
        <f t="shared" si="29"/>
        <v>0</v>
      </c>
      <c r="Q140" s="41">
        <f t="shared" si="30"/>
        <v>0</v>
      </c>
      <c r="R140" s="41">
        <f t="shared" si="31"/>
        <v>0</v>
      </c>
      <c r="S140" s="41">
        <f t="shared" si="32"/>
        <v>0</v>
      </c>
      <c r="T140" s="4" t="str">
        <f t="shared" si="33"/>
        <v>Leistungswert eintragen</v>
      </c>
      <c r="U140" s="4">
        <f t="shared" si="34"/>
        <v>0</v>
      </c>
    </row>
    <row r="141" spans="1:21" ht="15" customHeight="1" x14ac:dyDescent="0.2">
      <c r="A141" s="22">
        <v>131</v>
      </c>
      <c r="B141" s="91" t="s">
        <v>471</v>
      </c>
      <c r="C141" s="92" t="s">
        <v>422</v>
      </c>
      <c r="D141" s="92" t="s">
        <v>275</v>
      </c>
      <c r="E141" s="92" t="s">
        <v>472</v>
      </c>
      <c r="F141" s="92" t="s">
        <v>227</v>
      </c>
      <c r="G141" s="62">
        <v>76.25</v>
      </c>
      <c r="H141" s="62"/>
      <c r="I141" s="62"/>
      <c r="J141" s="22" t="s">
        <v>265</v>
      </c>
      <c r="K141" s="62">
        <v>5</v>
      </c>
      <c r="L141" s="41">
        <f>VLOOKUP(K141,Reinigungstage!A10:D31,4,FALSE)</f>
        <v>186.75</v>
      </c>
      <c r="M141" s="41">
        <f t="shared" si="28"/>
        <v>14239.69</v>
      </c>
      <c r="N141" s="93"/>
      <c r="O141" s="41"/>
      <c r="P141" s="41">
        <f t="shared" si="29"/>
        <v>0</v>
      </c>
      <c r="Q141" s="41">
        <f t="shared" si="30"/>
        <v>0</v>
      </c>
      <c r="R141" s="41">
        <f t="shared" si="31"/>
        <v>0</v>
      </c>
      <c r="S141" s="41">
        <f t="shared" si="32"/>
        <v>0</v>
      </c>
      <c r="T141" s="4" t="str">
        <f t="shared" si="33"/>
        <v>Leistungswert eintragen</v>
      </c>
      <c r="U141" s="4">
        <f t="shared" si="34"/>
        <v>0</v>
      </c>
    </row>
    <row r="142" spans="1:21" ht="15" customHeight="1" x14ac:dyDescent="0.2">
      <c r="A142" s="22">
        <v>132</v>
      </c>
      <c r="B142" s="91" t="s">
        <v>473</v>
      </c>
      <c r="C142" s="92" t="s">
        <v>422</v>
      </c>
      <c r="D142" s="92" t="s">
        <v>275</v>
      </c>
      <c r="E142" s="92" t="s">
        <v>341</v>
      </c>
      <c r="F142" s="92" t="s">
        <v>287</v>
      </c>
      <c r="G142" s="62">
        <v>59.71</v>
      </c>
      <c r="H142" s="62"/>
      <c r="I142" s="62"/>
      <c r="J142" s="22" t="s">
        <v>270</v>
      </c>
      <c r="K142" s="62">
        <v>5</v>
      </c>
      <c r="L142" s="41">
        <f>VLOOKUP(K142,Reinigungstage!A10:D31,4,FALSE)</f>
        <v>186.75</v>
      </c>
      <c r="M142" s="41">
        <f t="shared" si="28"/>
        <v>11150.84</v>
      </c>
      <c r="N142" s="93"/>
      <c r="O142" s="41"/>
      <c r="P142" s="41">
        <f t="shared" si="29"/>
        <v>0</v>
      </c>
      <c r="Q142" s="41">
        <f t="shared" si="30"/>
        <v>0</v>
      </c>
      <c r="R142" s="41">
        <f t="shared" si="31"/>
        <v>0</v>
      </c>
      <c r="S142" s="41">
        <f t="shared" si="32"/>
        <v>0</v>
      </c>
      <c r="T142" s="4" t="str">
        <f t="shared" si="33"/>
        <v>Leistungswert eintragen</v>
      </c>
      <c r="U142" s="4">
        <f t="shared" si="34"/>
        <v>0</v>
      </c>
    </row>
    <row r="143" spans="1:21" ht="15" customHeight="1" x14ac:dyDescent="0.2">
      <c r="A143" s="22">
        <v>133</v>
      </c>
      <c r="B143" s="91" t="s">
        <v>474</v>
      </c>
      <c r="C143" s="92" t="s">
        <v>422</v>
      </c>
      <c r="D143" s="92" t="s">
        <v>275</v>
      </c>
      <c r="E143" s="92" t="s">
        <v>475</v>
      </c>
      <c r="F143" s="92" t="s">
        <v>227</v>
      </c>
      <c r="G143" s="62">
        <v>26.95</v>
      </c>
      <c r="H143" s="62"/>
      <c r="I143" s="62"/>
      <c r="J143" s="22" t="s">
        <v>266</v>
      </c>
      <c r="K143" s="62">
        <v>1</v>
      </c>
      <c r="L143" s="41">
        <f>VLOOKUP(K143,Reinigungstage!A10:D31,4,FALSE)</f>
        <v>38.79</v>
      </c>
      <c r="M143" s="41">
        <f t="shared" si="28"/>
        <v>1045.3900000000001</v>
      </c>
      <c r="N143" s="93"/>
      <c r="O143" s="41"/>
      <c r="P143" s="41">
        <f t="shared" si="29"/>
        <v>0</v>
      </c>
      <c r="Q143" s="41">
        <f t="shared" si="30"/>
        <v>0</v>
      </c>
      <c r="R143" s="41">
        <f t="shared" si="31"/>
        <v>0</v>
      </c>
      <c r="S143" s="41">
        <f t="shared" si="32"/>
        <v>0</v>
      </c>
      <c r="T143" s="4" t="str">
        <f t="shared" si="33"/>
        <v>Leistungswert eintragen</v>
      </c>
      <c r="U143" s="4">
        <f t="shared" si="34"/>
        <v>0</v>
      </c>
    </row>
    <row r="144" spans="1:21" ht="15" customHeight="1" x14ac:dyDescent="0.2">
      <c r="A144" s="22">
        <v>134</v>
      </c>
      <c r="B144" s="91" t="s">
        <v>476</v>
      </c>
      <c r="C144" s="92" t="s">
        <v>422</v>
      </c>
      <c r="D144" s="92" t="s">
        <v>275</v>
      </c>
      <c r="E144" s="92" t="s">
        <v>477</v>
      </c>
      <c r="F144" s="92" t="s">
        <v>227</v>
      </c>
      <c r="G144" s="62">
        <v>75.180000000000007</v>
      </c>
      <c r="H144" s="62"/>
      <c r="I144" s="62"/>
      <c r="J144" s="22" t="s">
        <v>265</v>
      </c>
      <c r="K144" s="62">
        <v>5</v>
      </c>
      <c r="L144" s="41">
        <f>VLOOKUP(K144,Reinigungstage!A10:D31,4,FALSE)</f>
        <v>186.75</v>
      </c>
      <c r="M144" s="41">
        <f t="shared" si="28"/>
        <v>14039.87</v>
      </c>
      <c r="N144" s="93"/>
      <c r="O144" s="41"/>
      <c r="P144" s="41">
        <f t="shared" si="29"/>
        <v>0</v>
      </c>
      <c r="Q144" s="41">
        <f t="shared" si="30"/>
        <v>0</v>
      </c>
      <c r="R144" s="41">
        <f t="shared" si="31"/>
        <v>0</v>
      </c>
      <c r="S144" s="41">
        <f t="shared" si="32"/>
        <v>0</v>
      </c>
      <c r="T144" s="4" t="str">
        <f t="shared" si="33"/>
        <v>Leistungswert eintragen</v>
      </c>
      <c r="U144" s="4">
        <f t="shared" si="34"/>
        <v>0</v>
      </c>
    </row>
    <row r="145" spans="1:21" ht="15" customHeight="1" x14ac:dyDescent="0.2">
      <c r="A145" s="22">
        <v>135</v>
      </c>
      <c r="B145" s="91" t="s">
        <v>478</v>
      </c>
      <c r="C145" s="92" t="s">
        <v>422</v>
      </c>
      <c r="D145" s="92" t="s">
        <v>275</v>
      </c>
      <c r="E145" s="92" t="s">
        <v>479</v>
      </c>
      <c r="F145" s="92" t="s">
        <v>227</v>
      </c>
      <c r="G145" s="62">
        <v>75.180000000000007</v>
      </c>
      <c r="H145" s="62"/>
      <c r="I145" s="62"/>
      <c r="J145" s="22" t="s">
        <v>265</v>
      </c>
      <c r="K145" s="62">
        <v>5</v>
      </c>
      <c r="L145" s="41">
        <f>VLOOKUP(K145,Reinigungstage!A10:D31,4,FALSE)</f>
        <v>186.75</v>
      </c>
      <c r="M145" s="41">
        <f t="shared" si="28"/>
        <v>14039.87</v>
      </c>
      <c r="N145" s="93"/>
      <c r="O145" s="41"/>
      <c r="P145" s="41">
        <f t="shared" si="29"/>
        <v>0</v>
      </c>
      <c r="Q145" s="41">
        <f t="shared" si="30"/>
        <v>0</v>
      </c>
      <c r="R145" s="41">
        <f t="shared" si="31"/>
        <v>0</v>
      </c>
      <c r="S145" s="41">
        <f t="shared" si="32"/>
        <v>0</v>
      </c>
      <c r="T145" s="4" t="str">
        <f t="shared" si="33"/>
        <v>Leistungswert eintragen</v>
      </c>
      <c r="U145" s="4">
        <f t="shared" si="34"/>
        <v>0</v>
      </c>
    </row>
    <row r="146" spans="1:21" ht="15" customHeight="1" x14ac:dyDescent="0.2">
      <c r="A146" s="22">
        <v>136</v>
      </c>
      <c r="B146" s="91" t="s">
        <v>480</v>
      </c>
      <c r="C146" s="92" t="s">
        <v>422</v>
      </c>
      <c r="D146" s="92" t="s">
        <v>275</v>
      </c>
      <c r="E146" s="92" t="s">
        <v>347</v>
      </c>
      <c r="F146" s="92" t="s">
        <v>287</v>
      </c>
      <c r="G146" s="62">
        <v>44.92</v>
      </c>
      <c r="H146" s="62"/>
      <c r="I146" s="62"/>
      <c r="J146" s="22" t="s">
        <v>270</v>
      </c>
      <c r="K146" s="62">
        <v>5</v>
      </c>
      <c r="L146" s="41">
        <f>VLOOKUP(K146,Reinigungstage!A10:D31,4,FALSE)</f>
        <v>186.75</v>
      </c>
      <c r="M146" s="41">
        <f t="shared" si="28"/>
        <v>8388.81</v>
      </c>
      <c r="N146" s="93"/>
      <c r="O146" s="41"/>
      <c r="P146" s="41">
        <f t="shared" si="29"/>
        <v>0</v>
      </c>
      <c r="Q146" s="41">
        <f t="shared" si="30"/>
        <v>0</v>
      </c>
      <c r="R146" s="41">
        <f t="shared" si="31"/>
        <v>0</v>
      </c>
      <c r="S146" s="41">
        <f t="shared" si="32"/>
        <v>0</v>
      </c>
      <c r="T146" s="4" t="str">
        <f t="shared" si="33"/>
        <v>Leistungswert eintragen</v>
      </c>
      <c r="U146" s="4">
        <f t="shared" si="34"/>
        <v>0</v>
      </c>
    </row>
    <row r="147" spans="1:21" ht="15" customHeight="1" x14ac:dyDescent="0.2">
      <c r="A147" s="22">
        <v>137</v>
      </c>
      <c r="B147" s="91" t="s">
        <v>481</v>
      </c>
      <c r="C147" s="92" t="s">
        <v>422</v>
      </c>
      <c r="D147" s="92" t="s">
        <v>275</v>
      </c>
      <c r="E147" s="92" t="s">
        <v>475</v>
      </c>
      <c r="F147" s="92" t="s">
        <v>227</v>
      </c>
      <c r="G147" s="62">
        <v>26.95</v>
      </c>
      <c r="H147" s="62"/>
      <c r="I147" s="62"/>
      <c r="J147" s="22" t="s">
        <v>266</v>
      </c>
      <c r="K147" s="62">
        <v>1</v>
      </c>
      <c r="L147" s="41">
        <f>VLOOKUP(K147,Reinigungstage!A10:D31,4,FALSE)</f>
        <v>38.79</v>
      </c>
      <c r="M147" s="41">
        <f t="shared" si="28"/>
        <v>1045.3900000000001</v>
      </c>
      <c r="N147" s="93"/>
      <c r="O147" s="41"/>
      <c r="P147" s="41">
        <f t="shared" si="29"/>
        <v>0</v>
      </c>
      <c r="Q147" s="41">
        <f t="shared" si="30"/>
        <v>0</v>
      </c>
      <c r="R147" s="41">
        <f t="shared" si="31"/>
        <v>0</v>
      </c>
      <c r="S147" s="41">
        <f t="shared" si="32"/>
        <v>0</v>
      </c>
      <c r="T147" s="4" t="str">
        <f t="shared" si="33"/>
        <v>Leistungswert eintragen</v>
      </c>
      <c r="U147" s="4">
        <f t="shared" si="34"/>
        <v>0</v>
      </c>
    </row>
    <row r="148" spans="1:21" ht="15" customHeight="1" x14ac:dyDescent="0.2">
      <c r="A148" s="22">
        <v>138</v>
      </c>
      <c r="B148" s="91" t="s">
        <v>482</v>
      </c>
      <c r="C148" s="92" t="s">
        <v>422</v>
      </c>
      <c r="D148" s="92" t="s">
        <v>275</v>
      </c>
      <c r="E148" s="92" t="s">
        <v>483</v>
      </c>
      <c r="F148" s="92" t="s">
        <v>227</v>
      </c>
      <c r="G148" s="62">
        <v>75.180000000000007</v>
      </c>
      <c r="H148" s="62"/>
      <c r="I148" s="62"/>
      <c r="J148" s="22" t="s">
        <v>265</v>
      </c>
      <c r="K148" s="62">
        <v>5</v>
      </c>
      <c r="L148" s="41">
        <f>VLOOKUP(K148,Reinigungstage!A10:D31,4,FALSE)</f>
        <v>186.75</v>
      </c>
      <c r="M148" s="41">
        <f t="shared" si="28"/>
        <v>14039.87</v>
      </c>
      <c r="N148" s="93"/>
      <c r="O148" s="41"/>
      <c r="P148" s="41">
        <f t="shared" si="29"/>
        <v>0</v>
      </c>
      <c r="Q148" s="41">
        <f t="shared" si="30"/>
        <v>0</v>
      </c>
      <c r="R148" s="41">
        <f t="shared" si="31"/>
        <v>0</v>
      </c>
      <c r="S148" s="41">
        <f t="shared" si="32"/>
        <v>0</v>
      </c>
      <c r="T148" s="4" t="str">
        <f t="shared" si="33"/>
        <v>Leistungswert eintragen</v>
      </c>
      <c r="U148" s="4">
        <f t="shared" si="34"/>
        <v>0</v>
      </c>
    </row>
    <row r="149" spans="1:21" ht="15" customHeight="1" x14ac:dyDescent="0.2">
      <c r="A149" s="22">
        <v>139</v>
      </c>
      <c r="B149" s="91" t="s">
        <v>484</v>
      </c>
      <c r="C149" s="92" t="s">
        <v>422</v>
      </c>
      <c r="D149" s="92" t="s">
        <v>275</v>
      </c>
      <c r="E149" s="92" t="s">
        <v>485</v>
      </c>
      <c r="F149" s="92" t="s">
        <v>227</v>
      </c>
      <c r="G149" s="62">
        <v>75.180000000000007</v>
      </c>
      <c r="H149" s="62"/>
      <c r="I149" s="62"/>
      <c r="J149" s="22" t="s">
        <v>265</v>
      </c>
      <c r="K149" s="62">
        <v>5</v>
      </c>
      <c r="L149" s="41">
        <f>VLOOKUP(K149,Reinigungstage!A10:D31,4,FALSE)</f>
        <v>186.75</v>
      </c>
      <c r="M149" s="41">
        <f t="shared" si="28"/>
        <v>14039.87</v>
      </c>
      <c r="N149" s="93"/>
      <c r="O149" s="41"/>
      <c r="P149" s="41">
        <f t="shared" si="29"/>
        <v>0</v>
      </c>
      <c r="Q149" s="41">
        <f t="shared" si="30"/>
        <v>0</v>
      </c>
      <c r="R149" s="41">
        <f t="shared" si="31"/>
        <v>0</v>
      </c>
      <c r="S149" s="41">
        <f t="shared" si="32"/>
        <v>0</v>
      </c>
      <c r="T149" s="4" t="str">
        <f t="shared" si="33"/>
        <v>Leistungswert eintragen</v>
      </c>
      <c r="U149" s="4">
        <f t="shared" si="34"/>
        <v>0</v>
      </c>
    </row>
    <row r="150" spans="1:21" ht="15" customHeight="1" x14ac:dyDescent="0.2">
      <c r="A150" s="22">
        <v>140</v>
      </c>
      <c r="B150" s="91" t="s">
        <v>486</v>
      </c>
      <c r="C150" s="92" t="s">
        <v>422</v>
      </c>
      <c r="D150" s="92" t="s">
        <v>275</v>
      </c>
      <c r="E150" s="92" t="s">
        <v>487</v>
      </c>
      <c r="F150" s="92" t="s">
        <v>227</v>
      </c>
      <c r="G150" s="62">
        <v>26.95</v>
      </c>
      <c r="H150" s="62"/>
      <c r="I150" s="62"/>
      <c r="J150" s="22" t="s">
        <v>266</v>
      </c>
      <c r="K150" s="62">
        <v>1</v>
      </c>
      <c r="L150" s="41">
        <f>VLOOKUP(K150,Reinigungstage!A10:D31,4,FALSE)</f>
        <v>38.79</v>
      </c>
      <c r="M150" s="41">
        <f t="shared" si="28"/>
        <v>1045.3900000000001</v>
      </c>
      <c r="N150" s="93"/>
      <c r="O150" s="41"/>
      <c r="P150" s="41">
        <f t="shared" si="29"/>
        <v>0</v>
      </c>
      <c r="Q150" s="41">
        <f t="shared" si="30"/>
        <v>0</v>
      </c>
      <c r="R150" s="41">
        <f t="shared" si="31"/>
        <v>0</v>
      </c>
      <c r="S150" s="41">
        <f t="shared" si="32"/>
        <v>0</v>
      </c>
      <c r="T150" s="4" t="str">
        <f t="shared" si="33"/>
        <v>Leistungswert eintragen</v>
      </c>
      <c r="U150" s="4">
        <f t="shared" si="34"/>
        <v>0</v>
      </c>
    </row>
    <row r="151" spans="1:21" ht="15" customHeight="1" x14ac:dyDescent="0.2">
      <c r="A151" s="22">
        <v>141</v>
      </c>
      <c r="B151" s="91" t="s">
        <v>488</v>
      </c>
      <c r="C151" s="92" t="s">
        <v>422</v>
      </c>
      <c r="D151" s="92" t="s">
        <v>275</v>
      </c>
      <c r="E151" s="92" t="s">
        <v>489</v>
      </c>
      <c r="F151" s="92" t="s">
        <v>227</v>
      </c>
      <c r="G151" s="62">
        <v>75.180000000000007</v>
      </c>
      <c r="H151" s="62"/>
      <c r="I151" s="62"/>
      <c r="J151" s="22" t="s">
        <v>265</v>
      </c>
      <c r="K151" s="62">
        <v>5</v>
      </c>
      <c r="L151" s="41">
        <f>VLOOKUP(K151,Reinigungstage!A10:D31,4,FALSE)</f>
        <v>186.75</v>
      </c>
      <c r="M151" s="41">
        <f t="shared" si="28"/>
        <v>14039.87</v>
      </c>
      <c r="N151" s="93"/>
      <c r="O151" s="41"/>
      <c r="P151" s="41">
        <f t="shared" si="29"/>
        <v>0</v>
      </c>
      <c r="Q151" s="41">
        <f t="shared" si="30"/>
        <v>0</v>
      </c>
      <c r="R151" s="41">
        <f t="shared" si="31"/>
        <v>0</v>
      </c>
      <c r="S151" s="41">
        <f t="shared" si="32"/>
        <v>0</v>
      </c>
      <c r="T151" s="4" t="str">
        <f t="shared" si="33"/>
        <v>Leistungswert eintragen</v>
      </c>
      <c r="U151" s="4">
        <f t="shared" si="34"/>
        <v>0</v>
      </c>
    </row>
    <row r="152" spans="1:21" ht="24.95" customHeight="1" x14ac:dyDescent="0.2">
      <c r="A152" s="22">
        <v>142</v>
      </c>
      <c r="B152" s="91" t="s">
        <v>490</v>
      </c>
      <c r="C152" s="92" t="s">
        <v>422</v>
      </c>
      <c r="D152" s="92" t="s">
        <v>275</v>
      </c>
      <c r="E152" s="92" t="s">
        <v>491</v>
      </c>
      <c r="F152" s="92" t="s">
        <v>492</v>
      </c>
      <c r="G152" s="62">
        <v>133.43</v>
      </c>
      <c r="H152" s="62"/>
      <c r="I152" s="62"/>
      <c r="J152" s="22" t="s">
        <v>264</v>
      </c>
      <c r="K152" s="62">
        <v>5</v>
      </c>
      <c r="L152" s="41">
        <f>VLOOKUP(K152,Reinigungstage!A10:D31,4,FALSE)</f>
        <v>186.75</v>
      </c>
      <c r="M152" s="41">
        <f t="shared" si="28"/>
        <v>24918.05</v>
      </c>
      <c r="N152" s="93"/>
      <c r="O152" s="41"/>
      <c r="P152" s="41">
        <f t="shared" si="29"/>
        <v>0</v>
      </c>
      <c r="Q152" s="41">
        <f t="shared" si="30"/>
        <v>0</v>
      </c>
      <c r="R152" s="41">
        <f t="shared" si="31"/>
        <v>0</v>
      </c>
      <c r="S152" s="41">
        <f t="shared" si="32"/>
        <v>0</v>
      </c>
      <c r="T152" s="4" t="str">
        <f t="shared" si="33"/>
        <v>Leistungswert eintragen</v>
      </c>
      <c r="U152" s="4">
        <f t="shared" si="34"/>
        <v>0</v>
      </c>
    </row>
  </sheetData>
  <sortState xmlns:xlrd2="http://schemas.microsoft.com/office/spreadsheetml/2017/richdata2" ref="U4:U12">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152">
    <cfRule type="containsText" dxfId="57" priority="1" stopIfTrue="1" operator="containsText" text="SVS prüfen">
      <formula>NOT(ISERROR(SEARCH("SVS prüfen",T22)))</formula>
    </cfRule>
    <cfRule type="containsText" dxfId="56" priority="2" stopIfTrue="1" operator="containsText" text="Leistungswert eintragen">
      <formula>NOT(ISERROR(SEARCH("Leistungswert eintragen",T22)))</formula>
    </cfRule>
  </conditionalFormatting>
  <hyperlinks>
    <hyperlink ref="M1" location="Inhaltsverzeichnis!A1" display="Zurück zum Inhaltsverzeichnis" xr:uid="{00000000-0004-0000-08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PvH grSchulgeb&amp;LAmt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91138"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91139"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91140"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X158"/>
  <sheetViews>
    <sheetView showGridLines="0" zoomScaleNormal="100" workbookViewId="0">
      <pane ySplit="21" topLeftCell="A38" activePane="bottomLeft" state="frozen"/>
      <selection pane="bottomLeft" activeCell="F40" sqref="F40"/>
    </sheetView>
  </sheetViews>
  <sheetFormatPr baseColWidth="10" defaultColWidth="0" defaultRowHeight="15" customHeight="1" x14ac:dyDescent="0.2"/>
  <cols>
    <col min="1" max="1" width="11.7109375" style="4" customWidth="1"/>
    <col min="2" max="2" width="11" style="4" customWidth="1"/>
    <col min="3" max="3" width="6.2851562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1.42578125" style="4" customWidth="1"/>
    <col min="14" max="14" width="9.42578125" style="4" customWidth="1"/>
    <col min="15" max="15" width="8.42578125" style="4" customWidth="1"/>
    <col min="16" max="17" width="11.42578125" style="4" customWidth="1"/>
    <col min="18" max="18" width="10.5703125" style="4" customWidth="1"/>
    <col min="19" max="19" width="25.5703125" style="4" customWidth="1"/>
    <col min="20" max="16384" width="6.42578125" style="4" hidden="1"/>
  </cols>
  <sheetData>
    <row r="1" spans="1:22" ht="15" customHeight="1" x14ac:dyDescent="0.2">
      <c r="M1" s="6" t="s">
        <v>100</v>
      </c>
    </row>
    <row r="2" spans="1:22" ht="20.45" customHeight="1" x14ac:dyDescent="0.2">
      <c r="A2" s="174" t="s">
        <v>158</v>
      </c>
      <c r="B2" s="175"/>
      <c r="C2" s="175"/>
      <c r="D2" s="175"/>
      <c r="E2" s="176"/>
      <c r="G2" s="177" t="s">
        <v>171</v>
      </c>
      <c r="H2" s="177" t="s">
        <v>163</v>
      </c>
      <c r="I2" s="177" t="s">
        <v>164</v>
      </c>
      <c r="J2" s="177" t="s">
        <v>183</v>
      </c>
      <c r="M2" s="80"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2" ht="24" customHeight="1" x14ac:dyDescent="0.2">
      <c r="A3" s="81" t="s">
        <v>166</v>
      </c>
      <c r="B3" s="82"/>
      <c r="C3" s="82"/>
      <c r="D3" s="82"/>
      <c r="E3" s="83"/>
      <c r="G3" s="178"/>
      <c r="H3" s="178"/>
      <c r="I3" s="178"/>
      <c r="J3" s="178"/>
      <c r="M3" s="80" t="b">
        <v>0</v>
      </c>
      <c r="N3" s="150"/>
      <c r="O3" s="150"/>
      <c r="P3" s="150"/>
      <c r="Q3" s="150"/>
    </row>
    <row r="4" spans="1:22" ht="18.600000000000001" customHeight="1" x14ac:dyDescent="0.2">
      <c r="A4" s="172" t="s">
        <v>91</v>
      </c>
      <c r="B4" s="182" t="str">
        <f>IF(Inhaltsverzeichnis!C3="","",Inhaltsverzeichnis!C3)</f>
        <v/>
      </c>
      <c r="C4" s="183"/>
      <c r="D4" s="183"/>
      <c r="E4" s="184"/>
      <c r="G4" s="22" t="s">
        <v>273</v>
      </c>
      <c r="H4" s="84"/>
      <c r="I4" s="85">
        <f ca="1">SUMIF('Kal Grund PvH grSchulgeb'!J22:M158,$G$4,'Kal Grund PvH grSchulgeb'!M22:M158)</f>
        <v>327.96000000000004</v>
      </c>
      <c r="J4" s="60">
        <f>COUNTIFS('Kal Grund PvH grSchulgeb'!J22:M158,$G$4)</f>
        <v>11</v>
      </c>
      <c r="M4" s="80" t="b">
        <v>0</v>
      </c>
      <c r="N4" s="150"/>
      <c r="O4" s="150"/>
      <c r="P4" s="150"/>
      <c r="Q4" s="150"/>
      <c r="U4" s="22" t="s">
        <v>273</v>
      </c>
      <c r="V4" s="4">
        <v>13</v>
      </c>
    </row>
    <row r="5" spans="1:22" ht="15" customHeight="1" x14ac:dyDescent="0.2">
      <c r="A5" s="173"/>
      <c r="B5" s="185"/>
      <c r="C5" s="186"/>
      <c r="D5" s="186"/>
      <c r="E5" s="187"/>
      <c r="G5" s="22" t="s">
        <v>266</v>
      </c>
      <c r="H5" s="84"/>
      <c r="I5" s="85">
        <f ca="1">SUMIF('Kal Grund PvH grSchulgeb'!J22:M158,$G$5,'Kal Grund PvH grSchulgeb'!M22:M158)</f>
        <v>605.75000000000023</v>
      </c>
      <c r="J5" s="60">
        <f>COUNTIFS('Kal Grund PvH grSchulgeb'!J22:M158,$G$5)</f>
        <v>12</v>
      </c>
      <c r="M5" s="80" t="b">
        <v>0</v>
      </c>
      <c r="N5" s="150"/>
      <c r="O5" s="150"/>
      <c r="P5" s="150"/>
      <c r="Q5" s="150"/>
      <c r="U5" s="22" t="s">
        <v>266</v>
      </c>
      <c r="V5" s="4">
        <v>15</v>
      </c>
    </row>
    <row r="6" spans="1:22" ht="15" customHeight="1" x14ac:dyDescent="0.2">
      <c r="A6" s="142" t="s">
        <v>181</v>
      </c>
      <c r="B6" s="197" t="s">
        <v>586</v>
      </c>
      <c r="C6" s="198"/>
      <c r="D6" s="198"/>
      <c r="E6" s="199"/>
      <c r="G6" s="22" t="s">
        <v>272</v>
      </c>
      <c r="H6" s="84"/>
      <c r="I6" s="85">
        <f ca="1">SUMIF('Kal Grund PvH grSchulgeb'!J22:M158,$G$6,'Kal Grund PvH grSchulgeb'!M22:M158)</f>
        <v>238.98</v>
      </c>
      <c r="J6" s="60">
        <f>COUNTIFS('Kal Grund PvH grSchulgeb'!J22:M158,$G$6)</f>
        <v>5</v>
      </c>
      <c r="U6" s="22" t="s">
        <v>272</v>
      </c>
      <c r="V6" s="4">
        <v>15</v>
      </c>
    </row>
    <row r="7" spans="1:22" ht="15" customHeight="1" x14ac:dyDescent="0.2">
      <c r="A7" s="87" t="s">
        <v>179</v>
      </c>
      <c r="B7" s="191" t="s">
        <v>205</v>
      </c>
      <c r="C7" s="192"/>
      <c r="D7" s="192"/>
      <c r="E7" s="193"/>
      <c r="G7" s="22" t="s">
        <v>267</v>
      </c>
      <c r="H7" s="84"/>
      <c r="I7" s="85">
        <f ca="1">SUMIF('Kal Grund PvH grSchulgeb'!J22:M158,$G$7,'Kal Grund PvH grSchulgeb'!M22:M158)</f>
        <v>247.7</v>
      </c>
      <c r="J7" s="60">
        <f>COUNTIFS('Kal Grund PvH grSchulgeb'!J22:M158,$G$7)</f>
        <v>16</v>
      </c>
      <c r="U7" s="22" t="s">
        <v>267</v>
      </c>
      <c r="V7" s="4">
        <v>7</v>
      </c>
    </row>
    <row r="8" spans="1:22" ht="15" customHeight="1" x14ac:dyDescent="0.2">
      <c r="A8" s="87" t="s">
        <v>180</v>
      </c>
      <c r="B8" s="194" t="s">
        <v>212</v>
      </c>
      <c r="C8" s="192"/>
      <c r="D8" s="192"/>
      <c r="E8" s="193"/>
      <c r="G8" s="22" t="s">
        <v>270</v>
      </c>
      <c r="H8" s="84"/>
      <c r="I8" s="85">
        <f ca="1">SUMIF('Kal Grund PvH grSchulgeb'!J22:M158,$G$8,'Kal Grund PvH grSchulgeb'!M22:M158)</f>
        <v>412.64</v>
      </c>
      <c r="J8" s="60">
        <f>COUNTIFS('Kal Grund PvH grSchulgeb'!J22:M158,$G$8)</f>
        <v>9</v>
      </c>
      <c r="L8" s="94" t="str">
        <f>IF(N14&gt;0,"Ihre Eintragungen der Leistungswerte liegen weit über den Erfahrungswerten aus der Preisschätzung.","")</f>
        <v/>
      </c>
      <c r="U8" s="22" t="s">
        <v>268</v>
      </c>
      <c r="V8" s="4">
        <v>20</v>
      </c>
    </row>
    <row r="9" spans="1:22" ht="15" customHeight="1" x14ac:dyDescent="0.2">
      <c r="A9" s="86" t="s">
        <v>178</v>
      </c>
      <c r="B9" s="195" t="s">
        <v>211</v>
      </c>
      <c r="C9" s="192"/>
      <c r="D9" s="192"/>
      <c r="E9" s="193"/>
      <c r="G9" s="22" t="s">
        <v>265</v>
      </c>
      <c r="H9" s="84"/>
      <c r="I9" s="85">
        <f ca="1">SUMIF('Kal Grund PvH grSchulgeb'!J22:M158,$G$9,'Kal Grund PvH grSchulgeb'!M22:M158)</f>
        <v>3254.06</v>
      </c>
      <c r="J9" s="60">
        <f>COUNTIFS('Kal Grund PvH grSchulgeb'!J22:M158,$G$9)</f>
        <v>57</v>
      </c>
      <c r="L9" s="94" t="str">
        <f>IF(N14&gt;0,"Bitte prüfen Sie diese.","")</f>
        <v/>
      </c>
      <c r="U9" s="22" t="s">
        <v>270</v>
      </c>
      <c r="V9" s="4">
        <v>14</v>
      </c>
    </row>
    <row r="10" spans="1:22" ht="15" customHeight="1" x14ac:dyDescent="0.2">
      <c r="A10" s="87" t="s">
        <v>160</v>
      </c>
      <c r="B10" s="194" t="s">
        <v>207</v>
      </c>
      <c r="C10" s="192"/>
      <c r="D10" s="192"/>
      <c r="E10" s="193"/>
      <c r="G10" s="22" t="s">
        <v>264</v>
      </c>
      <c r="H10" s="84"/>
      <c r="I10" s="85">
        <f ca="1">SUMIF('Kal Grund PvH grSchulgeb'!J22:M158,$G$10,'Kal Grund PvH grSchulgeb'!M22:M158)</f>
        <v>2290.4399999999996</v>
      </c>
      <c r="J10" s="60">
        <f>COUNTIFS('Kal Grund PvH grSchulgeb'!J22:M158,$G$10)</f>
        <v>23</v>
      </c>
      <c r="L10" s="94" t="str">
        <f>IF(N14&gt;0,"Beachten Sie, dass Sie frei in der Kalkulation dieser Leistungswerte sind und wir durch den Hinweis","")</f>
        <v/>
      </c>
      <c r="U10" s="22" t="s">
        <v>265</v>
      </c>
      <c r="V10" s="4">
        <v>14</v>
      </c>
    </row>
    <row r="11" spans="1:22" ht="15" customHeight="1" x14ac:dyDescent="0.2">
      <c r="A11" s="87" t="s">
        <v>161</v>
      </c>
      <c r="B11" s="196" t="s">
        <v>208</v>
      </c>
      <c r="C11" s="192"/>
      <c r="D11" s="192"/>
      <c r="E11" s="193"/>
      <c r="G11" s="22" t="s">
        <v>269</v>
      </c>
      <c r="H11" s="84"/>
      <c r="I11" s="85">
        <f ca="1">SUMIF('Kal Grund PvH grSchulgeb'!J22:M158,$G$11,'Kal Grund PvH grSchulgeb'!M22:M158)</f>
        <v>165.94</v>
      </c>
      <c r="J11" s="60">
        <f>COUNTIFS('Kal Grund PvH grSchulgeb'!J22:M158,$G$11)</f>
        <v>4</v>
      </c>
      <c r="L11" s="94" t="str">
        <f>IF(N14&gt;0,"lediglich Fehleingaben vermeiden wollen.","")</f>
        <v/>
      </c>
      <c r="U11" s="22" t="s">
        <v>264</v>
      </c>
      <c r="V11" s="4">
        <v>24</v>
      </c>
    </row>
    <row r="12" spans="1:22" ht="15" customHeight="1" x14ac:dyDescent="0.2">
      <c r="A12" s="87" t="s">
        <v>162</v>
      </c>
      <c r="B12" s="194" t="s">
        <v>209</v>
      </c>
      <c r="C12" s="192"/>
      <c r="D12" s="192"/>
      <c r="E12" s="193"/>
      <c r="U12" s="22" t="s">
        <v>269</v>
      </c>
      <c r="V12" s="4">
        <v>16.5</v>
      </c>
    </row>
    <row r="13" spans="1:22"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2" ht="15" customHeight="1" x14ac:dyDescent="0.2">
      <c r="N14" s="98">
        <f>COUNTIF(X22:X$158,1)</f>
        <v>0</v>
      </c>
      <c r="O14" s="4" t="str">
        <f>IF(N14&gt;0,"Wert(e) prüfen.","")</f>
        <v/>
      </c>
      <c r="S14" s="19">
        <f>IF(COUNTA($S$22:$S$158)-COUNTBLANK($S$22:$S$158)=0,"",COUNTA($S$22:$S$158)-COUNTBLANK($S$22:$S$158))</f>
        <v>137</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2" t="s">
        <v>92</v>
      </c>
      <c r="B20" s="2" t="s">
        <v>97</v>
      </c>
      <c r="C20" s="2" t="s">
        <v>93</v>
      </c>
      <c r="D20" s="2" t="s">
        <v>94</v>
      </c>
      <c r="E20" s="2" t="s">
        <v>98</v>
      </c>
      <c r="F20" s="2" t="s">
        <v>95</v>
      </c>
      <c r="G20" s="2" t="s">
        <v>115</v>
      </c>
      <c r="H20" s="2" t="s">
        <v>106</v>
      </c>
      <c r="I20" s="2" t="s">
        <v>107</v>
      </c>
      <c r="J20" s="2" t="s">
        <v>99</v>
      </c>
      <c r="K20" s="2" t="s">
        <v>104</v>
      </c>
      <c r="L20" s="2" t="s">
        <v>108</v>
      </c>
      <c r="M20" s="2" t="s">
        <v>109</v>
      </c>
      <c r="N20" s="2" t="s">
        <v>105</v>
      </c>
      <c r="O20" s="2" t="s">
        <v>110</v>
      </c>
      <c r="P20" s="2" t="s">
        <v>111</v>
      </c>
      <c r="Q20" s="2" t="s">
        <v>112</v>
      </c>
      <c r="R20" s="2" t="s">
        <v>134</v>
      </c>
    </row>
    <row r="21" spans="1:24" ht="29.1" customHeight="1" x14ac:dyDescent="0.2">
      <c r="A21" s="88" t="s">
        <v>119</v>
      </c>
      <c r="B21" s="13"/>
      <c r="C21" s="13"/>
      <c r="D21" s="13"/>
      <c r="E21" s="13"/>
      <c r="F21" s="13"/>
      <c r="G21" s="89">
        <f>SUM($G$22:$G$158)</f>
        <v>7543.4700000000066</v>
      </c>
      <c r="H21" s="89">
        <f>SUM($H$22:$H$158)</f>
        <v>0</v>
      </c>
      <c r="I21" s="89">
        <f>SUM($I$22:$I$158)</f>
        <v>0</v>
      </c>
      <c r="J21" s="41"/>
      <c r="K21" s="41"/>
      <c r="L21" s="90">
        <f>MAX(L22:L158)</f>
        <v>1</v>
      </c>
      <c r="M21" s="89">
        <f>SUM($M$22:$M$158)</f>
        <v>7543.4700000000066</v>
      </c>
      <c r="N21" s="41"/>
      <c r="O21" s="41"/>
      <c r="P21" s="89">
        <f>SUM($P$22:$P$158)</f>
        <v>0</v>
      </c>
      <c r="Q21" s="89">
        <f>SUM($Q$22:$Q$158)</f>
        <v>0</v>
      </c>
      <c r="R21" s="89">
        <f>ROUND(IF(Q21=0,0,Q21/L21),2)</f>
        <v>0</v>
      </c>
    </row>
    <row r="22" spans="1:24" ht="15" customHeight="1" x14ac:dyDescent="0.2">
      <c r="A22" s="22">
        <v>1</v>
      </c>
      <c r="B22" s="91" t="s">
        <v>274</v>
      </c>
      <c r="C22" s="92" t="s">
        <v>271</v>
      </c>
      <c r="D22" s="92" t="s">
        <v>275</v>
      </c>
      <c r="E22" s="92" t="s">
        <v>276</v>
      </c>
      <c r="F22" s="92" t="s">
        <v>277</v>
      </c>
      <c r="G22" s="62">
        <v>78.56</v>
      </c>
      <c r="H22" s="62"/>
      <c r="I22" s="62"/>
      <c r="J22" s="22" t="s">
        <v>273</v>
      </c>
      <c r="K22" s="22" t="s">
        <v>144</v>
      </c>
      <c r="L22" s="41">
        <f>VLOOKUP(K22,Reinigungstage!A10:K31,11,FALSE)</f>
        <v>1</v>
      </c>
      <c r="M22" s="41">
        <f t="shared" ref="M22:M51" si="0">ROUND(IF(L22=0,0,L22*G22),2)</f>
        <v>78.56</v>
      </c>
      <c r="N22" s="93"/>
      <c r="O22" s="41"/>
      <c r="P22" s="41">
        <f t="shared" ref="P22:P51" si="1">ROUND(IF(N22=0,0,M22/N22),2)</f>
        <v>0</v>
      </c>
      <c r="Q22" s="41">
        <f t="shared" ref="Q22:Q51" si="2">ROUND(IF(P22=0,0,P22*O22),2)</f>
        <v>0</v>
      </c>
      <c r="R22" s="41">
        <f t="shared" ref="R22:R51" si="3">ROUND(IF(P22=0,0,Q22/L22),2)</f>
        <v>0</v>
      </c>
      <c r="S22" s="4" t="str">
        <f t="shared" ref="S22:S51" si="4">IF(M22=0,"",IF(N22=0,"Leistungswert eintragen",IF(O22=0,"SVS prüfen","")))</f>
        <v>Leistungswert eintragen</v>
      </c>
      <c r="U22" s="4">
        <f t="shared" ref="U22:U51" si="5">VLOOKUP(J22,$U$4:$V$12,2,FALSE)</f>
        <v>13</v>
      </c>
      <c r="V22" s="4">
        <f t="shared" ref="V22:V51" si="6">U22*30%</f>
        <v>3.9</v>
      </c>
      <c r="W22" s="4">
        <f t="shared" ref="W22:W51" si="7">SUM(U22:V22)</f>
        <v>16.899999999999999</v>
      </c>
      <c r="X22" s="4" t="str">
        <f t="shared" ref="X22:X51" si="8">IF(N22=0,"",IF(W22&lt;N22,1,IF(W22&gt;=N22,0,"")))</f>
        <v/>
      </c>
    </row>
    <row r="23" spans="1:24" ht="15" customHeight="1" x14ac:dyDescent="0.2">
      <c r="A23" s="22">
        <v>2</v>
      </c>
      <c r="B23" s="91" t="s">
        <v>278</v>
      </c>
      <c r="C23" s="92" t="s">
        <v>271</v>
      </c>
      <c r="D23" s="92" t="s">
        <v>275</v>
      </c>
      <c r="E23" s="92" t="s">
        <v>279</v>
      </c>
      <c r="F23" s="92" t="s">
        <v>277</v>
      </c>
      <c r="G23" s="62">
        <v>45.8</v>
      </c>
      <c r="H23" s="62"/>
      <c r="I23" s="62"/>
      <c r="J23" s="22" t="s">
        <v>273</v>
      </c>
      <c r="K23" s="22" t="s">
        <v>144</v>
      </c>
      <c r="L23" s="41">
        <f>VLOOKUP(K23,Reinigungstage!A10:K31,11,FALSE)</f>
        <v>1</v>
      </c>
      <c r="M23" s="41">
        <f t="shared" si="0"/>
        <v>45.8</v>
      </c>
      <c r="N23" s="93"/>
      <c r="O23" s="41"/>
      <c r="P23" s="41">
        <f t="shared" si="1"/>
        <v>0</v>
      </c>
      <c r="Q23" s="41">
        <f t="shared" si="2"/>
        <v>0</v>
      </c>
      <c r="R23" s="41">
        <f t="shared" si="3"/>
        <v>0</v>
      </c>
      <c r="S23" s="4" t="str">
        <f t="shared" si="4"/>
        <v>Leistungswert eintragen</v>
      </c>
      <c r="U23" s="4">
        <f t="shared" si="5"/>
        <v>13</v>
      </c>
      <c r="V23" s="4">
        <f t="shared" si="6"/>
        <v>3.9</v>
      </c>
      <c r="W23" s="4">
        <f t="shared" si="7"/>
        <v>16.899999999999999</v>
      </c>
      <c r="X23" s="4" t="str">
        <f t="shared" si="8"/>
        <v/>
      </c>
    </row>
    <row r="24" spans="1:24" ht="15" customHeight="1" x14ac:dyDescent="0.2">
      <c r="A24" s="22">
        <v>3</v>
      </c>
      <c r="B24" s="91" t="s">
        <v>280</v>
      </c>
      <c r="C24" s="92" t="s">
        <v>271</v>
      </c>
      <c r="D24" s="92" t="s">
        <v>275</v>
      </c>
      <c r="E24" s="92" t="s">
        <v>281</v>
      </c>
      <c r="F24" s="92" t="s">
        <v>227</v>
      </c>
      <c r="G24" s="62">
        <v>14.37</v>
      </c>
      <c r="H24" s="62"/>
      <c r="I24" s="62"/>
      <c r="J24" s="22" t="s">
        <v>269</v>
      </c>
      <c r="K24" s="22" t="s">
        <v>144</v>
      </c>
      <c r="L24" s="41">
        <f>VLOOKUP(K24,Reinigungstage!A10:K31,11,FALSE)</f>
        <v>1</v>
      </c>
      <c r="M24" s="41">
        <f t="shared" si="0"/>
        <v>14.37</v>
      </c>
      <c r="N24" s="93"/>
      <c r="O24" s="41"/>
      <c r="P24" s="41">
        <f t="shared" si="1"/>
        <v>0</v>
      </c>
      <c r="Q24" s="41">
        <f t="shared" si="2"/>
        <v>0</v>
      </c>
      <c r="R24" s="41">
        <f t="shared" si="3"/>
        <v>0</v>
      </c>
      <c r="S24" s="4" t="str">
        <f t="shared" si="4"/>
        <v>Leistungswert eintragen</v>
      </c>
      <c r="U24" s="4">
        <f t="shared" si="5"/>
        <v>16.5</v>
      </c>
      <c r="V24" s="4">
        <f t="shared" si="6"/>
        <v>4.95</v>
      </c>
      <c r="W24" s="4">
        <f t="shared" si="7"/>
        <v>21.45</v>
      </c>
      <c r="X24" s="4" t="str">
        <f t="shared" si="8"/>
        <v/>
      </c>
    </row>
    <row r="25" spans="1:24" ht="15" customHeight="1" x14ac:dyDescent="0.2">
      <c r="A25" s="22">
        <v>4</v>
      </c>
      <c r="B25" s="91" t="s">
        <v>282</v>
      </c>
      <c r="C25" s="92" t="s">
        <v>271</v>
      </c>
      <c r="D25" s="92" t="s">
        <v>275</v>
      </c>
      <c r="E25" s="92" t="s">
        <v>283</v>
      </c>
      <c r="F25" s="92" t="s">
        <v>227</v>
      </c>
      <c r="G25" s="62">
        <v>28.59</v>
      </c>
      <c r="H25" s="62"/>
      <c r="I25" s="62"/>
      <c r="J25" s="22" t="s">
        <v>266</v>
      </c>
      <c r="K25" s="22" t="s">
        <v>144</v>
      </c>
      <c r="L25" s="41">
        <f>VLOOKUP(K25,Reinigungstage!A10:K31,11,FALSE)</f>
        <v>1</v>
      </c>
      <c r="M25" s="41">
        <f t="shared" si="0"/>
        <v>28.59</v>
      </c>
      <c r="N25" s="93"/>
      <c r="O25" s="41"/>
      <c r="P25" s="41">
        <f t="shared" si="1"/>
        <v>0</v>
      </c>
      <c r="Q25" s="41">
        <f t="shared" si="2"/>
        <v>0</v>
      </c>
      <c r="R25" s="41">
        <f t="shared" si="3"/>
        <v>0</v>
      </c>
      <c r="S25" s="4" t="str">
        <f t="shared" si="4"/>
        <v>Leistungswert eintragen</v>
      </c>
      <c r="U25" s="4">
        <f t="shared" si="5"/>
        <v>15</v>
      </c>
      <c r="V25" s="4">
        <f t="shared" si="6"/>
        <v>4.5</v>
      </c>
      <c r="W25" s="4">
        <f t="shared" si="7"/>
        <v>19.5</v>
      </c>
      <c r="X25" s="4" t="str">
        <f t="shared" si="8"/>
        <v/>
      </c>
    </row>
    <row r="26" spans="1:24" ht="15" customHeight="1" x14ac:dyDescent="0.2">
      <c r="A26" s="22">
        <v>5</v>
      </c>
      <c r="B26" s="91" t="s">
        <v>284</v>
      </c>
      <c r="C26" s="92" t="s">
        <v>271</v>
      </c>
      <c r="D26" s="92" t="s">
        <v>275</v>
      </c>
      <c r="E26" s="92" t="s">
        <v>226</v>
      </c>
      <c r="F26" s="92" t="s">
        <v>227</v>
      </c>
      <c r="G26" s="62">
        <v>68.290000000000006</v>
      </c>
      <c r="H26" s="62"/>
      <c r="I26" s="62"/>
      <c r="J26" s="22" t="s">
        <v>264</v>
      </c>
      <c r="K26" s="22" t="s">
        <v>144</v>
      </c>
      <c r="L26" s="41">
        <f>VLOOKUP(K26,Reinigungstage!A10:K31,11,FALSE)</f>
        <v>1</v>
      </c>
      <c r="M26" s="41">
        <f t="shared" si="0"/>
        <v>68.290000000000006</v>
      </c>
      <c r="N26" s="93"/>
      <c r="O26" s="41"/>
      <c r="P26" s="41">
        <f t="shared" si="1"/>
        <v>0</v>
      </c>
      <c r="Q26" s="41">
        <f t="shared" si="2"/>
        <v>0</v>
      </c>
      <c r="R26" s="41">
        <f t="shared" si="3"/>
        <v>0</v>
      </c>
      <c r="S26" s="4" t="str">
        <f t="shared" si="4"/>
        <v>Leistungswert eintragen</v>
      </c>
      <c r="U26" s="4">
        <f t="shared" si="5"/>
        <v>24</v>
      </c>
      <c r="V26" s="4">
        <f t="shared" si="6"/>
        <v>7.1999999999999993</v>
      </c>
      <c r="W26" s="4">
        <f t="shared" si="7"/>
        <v>31.2</v>
      </c>
      <c r="X26" s="4" t="str">
        <f t="shared" si="8"/>
        <v/>
      </c>
    </row>
    <row r="27" spans="1:24" ht="15" customHeight="1" x14ac:dyDescent="0.2">
      <c r="A27" s="22">
        <v>6</v>
      </c>
      <c r="B27" s="91" t="s">
        <v>285</v>
      </c>
      <c r="C27" s="92" t="s">
        <v>271</v>
      </c>
      <c r="D27" s="92" t="s">
        <v>275</v>
      </c>
      <c r="E27" s="92" t="s">
        <v>286</v>
      </c>
      <c r="F27" s="92" t="s">
        <v>287</v>
      </c>
      <c r="G27" s="62">
        <v>13.45</v>
      </c>
      <c r="H27" s="62"/>
      <c r="I27" s="62"/>
      <c r="J27" s="22" t="s">
        <v>267</v>
      </c>
      <c r="K27" s="22" t="s">
        <v>144</v>
      </c>
      <c r="L27" s="41">
        <f>VLOOKUP(K27,Reinigungstage!A10:K31,11,FALSE)</f>
        <v>1</v>
      </c>
      <c r="M27" s="41">
        <f t="shared" si="0"/>
        <v>13.45</v>
      </c>
      <c r="N27" s="93"/>
      <c r="O27" s="41"/>
      <c r="P27" s="41">
        <f t="shared" si="1"/>
        <v>0</v>
      </c>
      <c r="Q27" s="41">
        <f t="shared" si="2"/>
        <v>0</v>
      </c>
      <c r="R27" s="41">
        <f t="shared" si="3"/>
        <v>0</v>
      </c>
      <c r="S27" s="4" t="str">
        <f t="shared" si="4"/>
        <v>Leistungswert eintragen</v>
      </c>
      <c r="U27" s="4">
        <f t="shared" si="5"/>
        <v>7</v>
      </c>
      <c r="V27" s="4">
        <f t="shared" si="6"/>
        <v>2.1</v>
      </c>
      <c r="W27" s="4">
        <f t="shared" si="7"/>
        <v>9.1</v>
      </c>
      <c r="X27" s="4" t="str">
        <f t="shared" si="8"/>
        <v/>
      </c>
    </row>
    <row r="28" spans="1:24" ht="15" customHeight="1" x14ac:dyDescent="0.2">
      <c r="A28" s="22">
        <v>7</v>
      </c>
      <c r="B28" s="91" t="s">
        <v>288</v>
      </c>
      <c r="C28" s="92" t="s">
        <v>271</v>
      </c>
      <c r="D28" s="92" t="s">
        <v>275</v>
      </c>
      <c r="E28" s="92" t="s">
        <v>289</v>
      </c>
      <c r="F28" s="92" t="s">
        <v>287</v>
      </c>
      <c r="G28" s="62">
        <v>13.45</v>
      </c>
      <c r="H28" s="62"/>
      <c r="I28" s="62"/>
      <c r="J28" s="22" t="s">
        <v>267</v>
      </c>
      <c r="K28" s="22" t="s">
        <v>144</v>
      </c>
      <c r="L28" s="41">
        <f>VLOOKUP(K28,Reinigungstage!A10:K31,11,FALSE)</f>
        <v>1</v>
      </c>
      <c r="M28" s="41">
        <f t="shared" si="0"/>
        <v>13.45</v>
      </c>
      <c r="N28" s="93"/>
      <c r="O28" s="41"/>
      <c r="P28" s="41">
        <f t="shared" si="1"/>
        <v>0</v>
      </c>
      <c r="Q28" s="41">
        <f t="shared" si="2"/>
        <v>0</v>
      </c>
      <c r="R28" s="41">
        <f t="shared" si="3"/>
        <v>0</v>
      </c>
      <c r="S28" s="4" t="str">
        <f t="shared" si="4"/>
        <v>Leistungswert eintragen</v>
      </c>
      <c r="U28" s="4">
        <f t="shared" si="5"/>
        <v>7</v>
      </c>
      <c r="V28" s="4">
        <f t="shared" si="6"/>
        <v>2.1</v>
      </c>
      <c r="W28" s="4">
        <f t="shared" si="7"/>
        <v>9.1</v>
      </c>
      <c r="X28" s="4" t="str">
        <f t="shared" si="8"/>
        <v/>
      </c>
    </row>
    <row r="29" spans="1:24" ht="15" customHeight="1" x14ac:dyDescent="0.2">
      <c r="A29" s="22">
        <v>8</v>
      </c>
      <c r="B29" s="91" t="s">
        <v>290</v>
      </c>
      <c r="C29" s="92" t="s">
        <v>271</v>
      </c>
      <c r="D29" s="92" t="s">
        <v>275</v>
      </c>
      <c r="E29" s="92" t="s">
        <v>291</v>
      </c>
      <c r="F29" s="92" t="s">
        <v>287</v>
      </c>
      <c r="G29" s="62">
        <v>110.19</v>
      </c>
      <c r="H29" s="62"/>
      <c r="I29" s="62"/>
      <c r="J29" s="22" t="s">
        <v>264</v>
      </c>
      <c r="K29" s="22" t="s">
        <v>144</v>
      </c>
      <c r="L29" s="41">
        <f>VLOOKUP(K29,Reinigungstage!A10:K31,11,FALSE)</f>
        <v>1</v>
      </c>
      <c r="M29" s="41">
        <f t="shared" si="0"/>
        <v>110.19</v>
      </c>
      <c r="N29" s="93"/>
      <c r="O29" s="41"/>
      <c r="P29" s="41">
        <f t="shared" si="1"/>
        <v>0</v>
      </c>
      <c r="Q29" s="41">
        <f t="shared" si="2"/>
        <v>0</v>
      </c>
      <c r="R29" s="41">
        <f t="shared" si="3"/>
        <v>0</v>
      </c>
      <c r="S29" s="4" t="str">
        <f t="shared" si="4"/>
        <v>Leistungswert eintragen</v>
      </c>
      <c r="U29" s="4">
        <f t="shared" si="5"/>
        <v>24</v>
      </c>
      <c r="V29" s="4">
        <f t="shared" si="6"/>
        <v>7.1999999999999993</v>
      </c>
      <c r="W29" s="4">
        <f t="shared" si="7"/>
        <v>31.2</v>
      </c>
      <c r="X29" s="4" t="str">
        <f t="shared" si="8"/>
        <v/>
      </c>
    </row>
    <row r="30" spans="1:24" ht="10.5" x14ac:dyDescent="0.2">
      <c r="A30" s="22">
        <v>9</v>
      </c>
      <c r="B30" s="91" t="s">
        <v>292</v>
      </c>
      <c r="C30" s="92" t="s">
        <v>271</v>
      </c>
      <c r="D30" s="92" t="s">
        <v>275</v>
      </c>
      <c r="E30" s="92" t="s">
        <v>293</v>
      </c>
      <c r="F30" s="92" t="s">
        <v>287</v>
      </c>
      <c r="G30" s="62">
        <v>18.28</v>
      </c>
      <c r="H30" s="62"/>
      <c r="I30" s="62"/>
      <c r="J30" s="22" t="s">
        <v>270</v>
      </c>
      <c r="K30" s="22" t="s">
        <v>144</v>
      </c>
      <c r="L30" s="41">
        <f>VLOOKUP(K30,Reinigungstage!A10:K31,11,FALSE)</f>
        <v>1</v>
      </c>
      <c r="M30" s="41">
        <f t="shared" si="0"/>
        <v>18.28</v>
      </c>
      <c r="N30" s="93"/>
      <c r="O30" s="41"/>
      <c r="P30" s="41">
        <f t="shared" si="1"/>
        <v>0</v>
      </c>
      <c r="Q30" s="41">
        <f t="shared" si="2"/>
        <v>0</v>
      </c>
      <c r="R30" s="41">
        <f t="shared" si="3"/>
        <v>0</v>
      </c>
      <c r="S30" s="4" t="str">
        <f t="shared" si="4"/>
        <v>Leistungswert eintragen</v>
      </c>
      <c r="U30" s="4">
        <f t="shared" si="5"/>
        <v>14</v>
      </c>
      <c r="V30" s="4">
        <f t="shared" si="6"/>
        <v>4.2</v>
      </c>
      <c r="W30" s="4">
        <f t="shared" si="7"/>
        <v>18.2</v>
      </c>
      <c r="X30" s="4" t="str">
        <f t="shared" si="8"/>
        <v/>
      </c>
    </row>
    <row r="31" spans="1:24" ht="15" customHeight="1" x14ac:dyDescent="0.2">
      <c r="A31" s="22">
        <v>10</v>
      </c>
      <c r="B31" s="91" t="s">
        <v>294</v>
      </c>
      <c r="C31" s="92" t="s">
        <v>271</v>
      </c>
      <c r="D31" s="92" t="s">
        <v>275</v>
      </c>
      <c r="E31" s="92" t="s">
        <v>295</v>
      </c>
      <c r="F31" s="92" t="s">
        <v>277</v>
      </c>
      <c r="G31" s="62">
        <v>20.5</v>
      </c>
      <c r="H31" s="62"/>
      <c r="I31" s="62"/>
      <c r="J31" s="22" t="s">
        <v>273</v>
      </c>
      <c r="K31" s="22" t="s">
        <v>144</v>
      </c>
      <c r="L31" s="41">
        <f>VLOOKUP(K31,Reinigungstage!A10:K31,11,FALSE)</f>
        <v>1</v>
      </c>
      <c r="M31" s="41">
        <f t="shared" si="0"/>
        <v>20.5</v>
      </c>
      <c r="N31" s="93"/>
      <c r="O31" s="41"/>
      <c r="P31" s="41">
        <f t="shared" si="1"/>
        <v>0</v>
      </c>
      <c r="Q31" s="41">
        <f t="shared" si="2"/>
        <v>0</v>
      </c>
      <c r="R31" s="41">
        <f t="shared" si="3"/>
        <v>0</v>
      </c>
      <c r="S31" s="4" t="str">
        <f t="shared" si="4"/>
        <v>Leistungswert eintragen</v>
      </c>
      <c r="U31" s="4">
        <f t="shared" si="5"/>
        <v>13</v>
      </c>
      <c r="V31" s="4">
        <f t="shared" si="6"/>
        <v>3.9</v>
      </c>
      <c r="W31" s="4">
        <f t="shared" si="7"/>
        <v>16.899999999999999</v>
      </c>
      <c r="X31" s="4" t="str">
        <f t="shared" si="8"/>
        <v/>
      </c>
    </row>
    <row r="32" spans="1:24" ht="15" customHeight="1" x14ac:dyDescent="0.2">
      <c r="A32" s="22">
        <v>11</v>
      </c>
      <c r="B32" s="91" t="s">
        <v>296</v>
      </c>
      <c r="C32" s="92" t="s">
        <v>271</v>
      </c>
      <c r="D32" s="92" t="s">
        <v>275</v>
      </c>
      <c r="E32" s="92" t="s">
        <v>295</v>
      </c>
      <c r="F32" s="92" t="s">
        <v>277</v>
      </c>
      <c r="G32" s="62">
        <v>20.3</v>
      </c>
      <c r="H32" s="62"/>
      <c r="I32" s="62"/>
      <c r="J32" s="22" t="s">
        <v>273</v>
      </c>
      <c r="K32" s="22" t="s">
        <v>144</v>
      </c>
      <c r="L32" s="41">
        <f>VLOOKUP(K32,Reinigungstage!A10:K31,11,FALSE)</f>
        <v>1</v>
      </c>
      <c r="M32" s="41">
        <f t="shared" si="0"/>
        <v>20.3</v>
      </c>
      <c r="N32" s="93"/>
      <c r="O32" s="41"/>
      <c r="P32" s="41">
        <f t="shared" si="1"/>
        <v>0</v>
      </c>
      <c r="Q32" s="41">
        <f t="shared" si="2"/>
        <v>0</v>
      </c>
      <c r="R32" s="41">
        <f t="shared" si="3"/>
        <v>0</v>
      </c>
      <c r="S32" s="4" t="str">
        <f t="shared" si="4"/>
        <v>Leistungswert eintragen</v>
      </c>
      <c r="U32" s="4">
        <f t="shared" si="5"/>
        <v>13</v>
      </c>
      <c r="V32" s="4">
        <f t="shared" si="6"/>
        <v>3.9</v>
      </c>
      <c r="W32" s="4">
        <f t="shared" si="7"/>
        <v>16.899999999999999</v>
      </c>
      <c r="X32" s="4" t="str">
        <f t="shared" si="8"/>
        <v/>
      </c>
    </row>
    <row r="33" spans="1:24" ht="15" customHeight="1" x14ac:dyDescent="0.2">
      <c r="A33" s="22">
        <v>12</v>
      </c>
      <c r="B33" s="91" t="s">
        <v>297</v>
      </c>
      <c r="C33" s="92" t="s">
        <v>271</v>
      </c>
      <c r="D33" s="92" t="s">
        <v>275</v>
      </c>
      <c r="E33" s="92" t="s">
        <v>298</v>
      </c>
      <c r="F33" s="92" t="s">
        <v>277</v>
      </c>
      <c r="G33" s="62">
        <v>67.8</v>
      </c>
      <c r="H33" s="62"/>
      <c r="I33" s="62"/>
      <c r="J33" s="22" t="s">
        <v>273</v>
      </c>
      <c r="K33" s="22" t="s">
        <v>144</v>
      </c>
      <c r="L33" s="41">
        <f>VLOOKUP(K33,Reinigungstage!A10:K31,11,FALSE)</f>
        <v>1</v>
      </c>
      <c r="M33" s="41">
        <f t="shared" si="0"/>
        <v>67.8</v>
      </c>
      <c r="N33" s="93"/>
      <c r="O33" s="41"/>
      <c r="P33" s="41">
        <f t="shared" si="1"/>
        <v>0</v>
      </c>
      <c r="Q33" s="41">
        <f t="shared" si="2"/>
        <v>0</v>
      </c>
      <c r="R33" s="41">
        <f t="shared" si="3"/>
        <v>0</v>
      </c>
      <c r="S33" s="4" t="str">
        <f t="shared" si="4"/>
        <v>Leistungswert eintragen</v>
      </c>
      <c r="U33" s="4">
        <f t="shared" si="5"/>
        <v>13</v>
      </c>
      <c r="V33" s="4">
        <f t="shared" si="6"/>
        <v>3.9</v>
      </c>
      <c r="W33" s="4">
        <f t="shared" si="7"/>
        <v>16.899999999999999</v>
      </c>
      <c r="X33" s="4" t="str">
        <f t="shared" si="8"/>
        <v/>
      </c>
    </row>
    <row r="34" spans="1:24" ht="15" customHeight="1" x14ac:dyDescent="0.2">
      <c r="A34" s="22">
        <v>13</v>
      </c>
      <c r="B34" s="91" t="s">
        <v>299</v>
      </c>
      <c r="C34" s="92" t="s">
        <v>271</v>
      </c>
      <c r="D34" s="92" t="s">
        <v>275</v>
      </c>
      <c r="E34" s="92" t="s">
        <v>300</v>
      </c>
      <c r="F34" s="92" t="s">
        <v>277</v>
      </c>
      <c r="G34" s="62">
        <v>11.53</v>
      </c>
      <c r="H34" s="62"/>
      <c r="I34" s="62"/>
      <c r="J34" s="22" t="s">
        <v>273</v>
      </c>
      <c r="K34" s="22" t="s">
        <v>144</v>
      </c>
      <c r="L34" s="41">
        <f>VLOOKUP(K34,Reinigungstage!A10:K31,11,FALSE)</f>
        <v>1</v>
      </c>
      <c r="M34" s="41">
        <f t="shared" si="0"/>
        <v>11.53</v>
      </c>
      <c r="N34" s="93"/>
      <c r="O34" s="41"/>
      <c r="P34" s="41">
        <f t="shared" si="1"/>
        <v>0</v>
      </c>
      <c r="Q34" s="41">
        <f t="shared" si="2"/>
        <v>0</v>
      </c>
      <c r="R34" s="41">
        <f t="shared" si="3"/>
        <v>0</v>
      </c>
      <c r="S34" s="4" t="str">
        <f t="shared" si="4"/>
        <v>Leistungswert eintragen</v>
      </c>
      <c r="U34" s="4">
        <f t="shared" si="5"/>
        <v>13</v>
      </c>
      <c r="V34" s="4">
        <f t="shared" si="6"/>
        <v>3.9</v>
      </c>
      <c r="W34" s="4">
        <f t="shared" si="7"/>
        <v>16.899999999999999</v>
      </c>
      <c r="X34" s="4" t="str">
        <f t="shared" si="8"/>
        <v/>
      </c>
    </row>
    <row r="35" spans="1:24" ht="15" customHeight="1" x14ac:dyDescent="0.2">
      <c r="A35" s="22">
        <v>14</v>
      </c>
      <c r="B35" s="91" t="s">
        <v>301</v>
      </c>
      <c r="C35" s="92" t="s">
        <v>271</v>
      </c>
      <c r="D35" s="92" t="s">
        <v>275</v>
      </c>
      <c r="E35" s="92" t="s">
        <v>300</v>
      </c>
      <c r="F35" s="92" t="s">
        <v>277</v>
      </c>
      <c r="G35" s="62">
        <v>8.43</v>
      </c>
      <c r="H35" s="62"/>
      <c r="I35" s="62"/>
      <c r="J35" s="22" t="s">
        <v>273</v>
      </c>
      <c r="K35" s="22" t="s">
        <v>144</v>
      </c>
      <c r="L35" s="41">
        <f>VLOOKUP(K35,Reinigungstage!A10:K31,11,FALSE)</f>
        <v>1</v>
      </c>
      <c r="M35" s="41">
        <f t="shared" si="0"/>
        <v>8.43</v>
      </c>
      <c r="N35" s="93"/>
      <c r="O35" s="41"/>
      <c r="P35" s="41">
        <f t="shared" si="1"/>
        <v>0</v>
      </c>
      <c r="Q35" s="41">
        <f t="shared" si="2"/>
        <v>0</v>
      </c>
      <c r="R35" s="41">
        <f t="shared" si="3"/>
        <v>0</v>
      </c>
      <c r="S35" s="4" t="str">
        <f t="shared" si="4"/>
        <v>Leistungswert eintragen</v>
      </c>
      <c r="U35" s="4">
        <f t="shared" si="5"/>
        <v>13</v>
      </c>
      <c r="V35" s="4">
        <f t="shared" si="6"/>
        <v>3.9</v>
      </c>
      <c r="W35" s="4">
        <f t="shared" si="7"/>
        <v>16.899999999999999</v>
      </c>
      <c r="X35" s="4" t="str">
        <f t="shared" si="8"/>
        <v/>
      </c>
    </row>
    <row r="36" spans="1:24" ht="15" customHeight="1" x14ac:dyDescent="0.2">
      <c r="A36" s="22">
        <v>15</v>
      </c>
      <c r="B36" s="91" t="s">
        <v>302</v>
      </c>
      <c r="C36" s="92" t="s">
        <v>271</v>
      </c>
      <c r="D36" s="92" t="s">
        <v>275</v>
      </c>
      <c r="E36" s="92" t="s">
        <v>303</v>
      </c>
      <c r="F36" s="92" t="s">
        <v>227</v>
      </c>
      <c r="G36" s="62">
        <v>7.51</v>
      </c>
      <c r="H36" s="62"/>
      <c r="I36" s="62"/>
      <c r="J36" s="22" t="s">
        <v>266</v>
      </c>
      <c r="K36" s="22" t="s">
        <v>144</v>
      </c>
      <c r="L36" s="41">
        <f>VLOOKUP(K36,Reinigungstage!A10:K31,11,FALSE)</f>
        <v>1</v>
      </c>
      <c r="M36" s="41">
        <f t="shared" si="0"/>
        <v>7.51</v>
      </c>
      <c r="N36" s="93"/>
      <c r="O36" s="41"/>
      <c r="P36" s="41">
        <f t="shared" si="1"/>
        <v>0</v>
      </c>
      <c r="Q36" s="41">
        <f t="shared" si="2"/>
        <v>0</v>
      </c>
      <c r="R36" s="41">
        <f t="shared" si="3"/>
        <v>0</v>
      </c>
      <c r="S36" s="4" t="str">
        <f t="shared" si="4"/>
        <v>Leistungswert eintragen</v>
      </c>
      <c r="U36" s="4">
        <f t="shared" si="5"/>
        <v>15</v>
      </c>
      <c r="V36" s="4">
        <f t="shared" si="6"/>
        <v>4.5</v>
      </c>
      <c r="W36" s="4">
        <f t="shared" si="7"/>
        <v>19.5</v>
      </c>
      <c r="X36" s="4" t="str">
        <f t="shared" si="8"/>
        <v/>
      </c>
    </row>
    <row r="37" spans="1:24" ht="15" customHeight="1" x14ac:dyDescent="0.2">
      <c r="A37" s="22">
        <v>16</v>
      </c>
      <c r="B37" s="91" t="s">
        <v>304</v>
      </c>
      <c r="C37" s="92" t="s">
        <v>271</v>
      </c>
      <c r="D37" s="92" t="s">
        <v>275</v>
      </c>
      <c r="E37" s="92" t="s">
        <v>305</v>
      </c>
      <c r="F37" s="92" t="s">
        <v>227</v>
      </c>
      <c r="G37" s="62">
        <v>50.05</v>
      </c>
      <c r="H37" s="62"/>
      <c r="I37" s="62"/>
      <c r="J37" s="22" t="s">
        <v>269</v>
      </c>
      <c r="K37" s="22" t="s">
        <v>144</v>
      </c>
      <c r="L37" s="41">
        <f>VLOOKUP(K37,Reinigungstage!A10:K31,11,FALSE)</f>
        <v>1</v>
      </c>
      <c r="M37" s="41">
        <f t="shared" si="0"/>
        <v>50.05</v>
      </c>
      <c r="N37" s="93"/>
      <c r="O37" s="41"/>
      <c r="P37" s="41">
        <f t="shared" si="1"/>
        <v>0</v>
      </c>
      <c r="Q37" s="41">
        <f t="shared" si="2"/>
        <v>0</v>
      </c>
      <c r="R37" s="41">
        <f t="shared" si="3"/>
        <v>0</v>
      </c>
      <c r="S37" s="4" t="str">
        <f t="shared" si="4"/>
        <v>Leistungswert eintragen</v>
      </c>
      <c r="U37" s="4">
        <f t="shared" si="5"/>
        <v>16.5</v>
      </c>
      <c r="V37" s="4">
        <f t="shared" si="6"/>
        <v>4.95</v>
      </c>
      <c r="W37" s="4">
        <f t="shared" si="7"/>
        <v>21.45</v>
      </c>
      <c r="X37" s="4" t="str">
        <f t="shared" si="8"/>
        <v/>
      </c>
    </row>
    <row r="38" spans="1:24" ht="15" customHeight="1" x14ac:dyDescent="0.2">
      <c r="A38" s="22">
        <v>17</v>
      </c>
      <c r="B38" s="91" t="s">
        <v>306</v>
      </c>
      <c r="C38" s="92" t="s">
        <v>271</v>
      </c>
      <c r="D38" s="92" t="s">
        <v>275</v>
      </c>
      <c r="E38" s="92" t="s">
        <v>307</v>
      </c>
      <c r="F38" s="92" t="s">
        <v>287</v>
      </c>
      <c r="G38" s="62">
        <v>20.79</v>
      </c>
      <c r="H38" s="62"/>
      <c r="I38" s="62"/>
      <c r="J38" s="22" t="s">
        <v>264</v>
      </c>
      <c r="K38" s="22" t="s">
        <v>144</v>
      </c>
      <c r="L38" s="41">
        <f>VLOOKUP(K38,Reinigungstage!A10:K31,11,FALSE)</f>
        <v>1</v>
      </c>
      <c r="M38" s="41">
        <f t="shared" si="0"/>
        <v>20.79</v>
      </c>
      <c r="N38" s="93"/>
      <c r="O38" s="41"/>
      <c r="P38" s="41">
        <f t="shared" si="1"/>
        <v>0</v>
      </c>
      <c r="Q38" s="41">
        <f t="shared" si="2"/>
        <v>0</v>
      </c>
      <c r="R38" s="41">
        <f t="shared" si="3"/>
        <v>0</v>
      </c>
      <c r="S38" s="4" t="str">
        <f t="shared" si="4"/>
        <v>Leistungswert eintragen</v>
      </c>
      <c r="U38" s="4">
        <f t="shared" si="5"/>
        <v>24</v>
      </c>
      <c r="V38" s="4">
        <f t="shared" si="6"/>
        <v>7.1999999999999993</v>
      </c>
      <c r="W38" s="4">
        <f t="shared" si="7"/>
        <v>31.2</v>
      </c>
      <c r="X38" s="4" t="str">
        <f t="shared" si="8"/>
        <v/>
      </c>
    </row>
    <row r="39" spans="1:24" ht="24.95" customHeight="1" x14ac:dyDescent="0.2">
      <c r="A39" s="22">
        <v>18</v>
      </c>
      <c r="B39" s="91" t="s">
        <v>308</v>
      </c>
      <c r="C39" s="92" t="s">
        <v>271</v>
      </c>
      <c r="D39" s="92" t="s">
        <v>275</v>
      </c>
      <c r="E39" s="92" t="s">
        <v>579</v>
      </c>
      <c r="F39" s="92" t="s">
        <v>287</v>
      </c>
      <c r="G39" s="62">
        <v>50.05</v>
      </c>
      <c r="H39" s="62"/>
      <c r="I39" s="62"/>
      <c r="J39" s="22" t="s">
        <v>269</v>
      </c>
      <c r="K39" s="22" t="s">
        <v>144</v>
      </c>
      <c r="L39" s="41">
        <f>VLOOKUP(K39,Reinigungstage!A10:K31,11,FALSE)</f>
        <v>1</v>
      </c>
      <c r="M39" s="41">
        <f t="shared" si="0"/>
        <v>50.05</v>
      </c>
      <c r="N39" s="93"/>
      <c r="O39" s="41"/>
      <c r="P39" s="41">
        <f t="shared" si="1"/>
        <v>0</v>
      </c>
      <c r="Q39" s="41">
        <f t="shared" si="2"/>
        <v>0</v>
      </c>
      <c r="R39" s="41">
        <f t="shared" si="3"/>
        <v>0</v>
      </c>
      <c r="S39" s="4" t="str">
        <f t="shared" si="4"/>
        <v>Leistungswert eintragen</v>
      </c>
      <c r="U39" s="4">
        <f t="shared" si="5"/>
        <v>16.5</v>
      </c>
      <c r="V39" s="4">
        <f t="shared" si="6"/>
        <v>4.95</v>
      </c>
      <c r="W39" s="4">
        <f t="shared" si="7"/>
        <v>21.45</v>
      </c>
      <c r="X39" s="4" t="str">
        <f t="shared" si="8"/>
        <v/>
      </c>
    </row>
    <row r="40" spans="1:24" ht="15" customHeight="1" x14ac:dyDescent="0.2">
      <c r="A40" s="22">
        <v>19</v>
      </c>
      <c r="B40" s="91" t="s">
        <v>309</v>
      </c>
      <c r="C40" s="92" t="s">
        <v>271</v>
      </c>
      <c r="D40" s="92" t="s">
        <v>275</v>
      </c>
      <c r="E40" s="92" t="s">
        <v>310</v>
      </c>
      <c r="F40" s="92" t="s">
        <v>592</v>
      </c>
      <c r="G40" s="62">
        <v>244.87</v>
      </c>
      <c r="H40" s="62"/>
      <c r="I40" s="62"/>
      <c r="J40" s="22" t="s">
        <v>266</v>
      </c>
      <c r="K40" s="22" t="s">
        <v>144</v>
      </c>
      <c r="L40" s="41">
        <f>VLOOKUP(K40,Reinigungstage!A10:K31,11,FALSE)</f>
        <v>1</v>
      </c>
      <c r="M40" s="41">
        <f t="shared" si="0"/>
        <v>244.87</v>
      </c>
      <c r="N40" s="93"/>
      <c r="O40" s="41"/>
      <c r="P40" s="41">
        <f t="shared" si="1"/>
        <v>0</v>
      </c>
      <c r="Q40" s="41">
        <f t="shared" si="2"/>
        <v>0</v>
      </c>
      <c r="R40" s="41">
        <f t="shared" si="3"/>
        <v>0</v>
      </c>
      <c r="S40" s="4" t="str">
        <f t="shared" si="4"/>
        <v>Leistungswert eintragen</v>
      </c>
      <c r="U40" s="4">
        <f t="shared" si="5"/>
        <v>15</v>
      </c>
      <c r="V40" s="4">
        <f t="shared" si="6"/>
        <v>4.5</v>
      </c>
      <c r="W40" s="4">
        <f t="shared" si="7"/>
        <v>19.5</v>
      </c>
      <c r="X40" s="4" t="str">
        <f t="shared" si="8"/>
        <v/>
      </c>
    </row>
    <row r="41" spans="1:24" ht="15" customHeight="1" x14ac:dyDescent="0.2">
      <c r="A41" s="22">
        <v>20</v>
      </c>
      <c r="B41" s="91" t="s">
        <v>313</v>
      </c>
      <c r="C41" s="92" t="s">
        <v>271</v>
      </c>
      <c r="D41" s="92" t="s">
        <v>275</v>
      </c>
      <c r="E41" s="92" t="s">
        <v>314</v>
      </c>
      <c r="F41" s="92" t="s">
        <v>287</v>
      </c>
      <c r="G41" s="62">
        <v>174.6</v>
      </c>
      <c r="H41" s="62"/>
      <c r="I41" s="62"/>
      <c r="J41" s="22" t="s">
        <v>264</v>
      </c>
      <c r="K41" s="22" t="s">
        <v>144</v>
      </c>
      <c r="L41" s="41">
        <f>VLOOKUP(K41,Reinigungstage!A10:K31,11,FALSE)</f>
        <v>1</v>
      </c>
      <c r="M41" s="41">
        <f t="shared" si="0"/>
        <v>174.6</v>
      </c>
      <c r="N41" s="93"/>
      <c r="O41" s="41"/>
      <c r="P41" s="41">
        <f t="shared" si="1"/>
        <v>0</v>
      </c>
      <c r="Q41" s="41">
        <f t="shared" si="2"/>
        <v>0</v>
      </c>
      <c r="R41" s="41">
        <f t="shared" si="3"/>
        <v>0</v>
      </c>
      <c r="S41" s="4" t="str">
        <f t="shared" si="4"/>
        <v>Leistungswert eintragen</v>
      </c>
      <c r="U41" s="4">
        <f t="shared" si="5"/>
        <v>24</v>
      </c>
      <c r="V41" s="4">
        <f t="shared" si="6"/>
        <v>7.1999999999999993</v>
      </c>
      <c r="W41" s="4">
        <f t="shared" si="7"/>
        <v>31.2</v>
      </c>
      <c r="X41" s="4" t="str">
        <f t="shared" si="8"/>
        <v/>
      </c>
    </row>
    <row r="42" spans="1:24" ht="15" customHeight="1" x14ac:dyDescent="0.2">
      <c r="A42" s="22">
        <v>21</v>
      </c>
      <c r="B42" s="91" t="s">
        <v>317</v>
      </c>
      <c r="C42" s="92" t="s">
        <v>271</v>
      </c>
      <c r="D42" s="92" t="s">
        <v>275</v>
      </c>
      <c r="E42" s="92" t="s">
        <v>235</v>
      </c>
      <c r="F42" s="92" t="s">
        <v>287</v>
      </c>
      <c r="G42" s="62">
        <v>20.12</v>
      </c>
      <c r="H42" s="62"/>
      <c r="I42" s="62"/>
      <c r="J42" s="22" t="s">
        <v>267</v>
      </c>
      <c r="K42" s="22" t="s">
        <v>144</v>
      </c>
      <c r="L42" s="41">
        <f>VLOOKUP(K42,Reinigungstage!A10:K31,11,FALSE)</f>
        <v>1</v>
      </c>
      <c r="M42" s="41">
        <f t="shared" si="0"/>
        <v>20.12</v>
      </c>
      <c r="N42" s="93"/>
      <c r="O42" s="41"/>
      <c r="P42" s="41">
        <f t="shared" si="1"/>
        <v>0</v>
      </c>
      <c r="Q42" s="41">
        <f t="shared" si="2"/>
        <v>0</v>
      </c>
      <c r="R42" s="41">
        <f t="shared" si="3"/>
        <v>0</v>
      </c>
      <c r="S42" s="4" t="str">
        <f t="shared" si="4"/>
        <v>Leistungswert eintragen</v>
      </c>
      <c r="U42" s="4">
        <f t="shared" si="5"/>
        <v>7</v>
      </c>
      <c r="V42" s="4">
        <f t="shared" si="6"/>
        <v>2.1</v>
      </c>
      <c r="W42" s="4">
        <f t="shared" si="7"/>
        <v>9.1</v>
      </c>
      <c r="X42" s="4" t="str">
        <f t="shared" si="8"/>
        <v/>
      </c>
    </row>
    <row r="43" spans="1:24" ht="15" customHeight="1" x14ac:dyDescent="0.2">
      <c r="A43" s="22">
        <v>22</v>
      </c>
      <c r="B43" s="91" t="s">
        <v>318</v>
      </c>
      <c r="C43" s="92" t="s">
        <v>271</v>
      </c>
      <c r="D43" s="92" t="s">
        <v>275</v>
      </c>
      <c r="E43" s="92" t="s">
        <v>237</v>
      </c>
      <c r="F43" s="92" t="s">
        <v>287</v>
      </c>
      <c r="G43" s="62">
        <v>15.56</v>
      </c>
      <c r="H43" s="62"/>
      <c r="I43" s="62"/>
      <c r="J43" s="22" t="s">
        <v>267</v>
      </c>
      <c r="K43" s="22" t="s">
        <v>144</v>
      </c>
      <c r="L43" s="41">
        <f>VLOOKUP(K43,Reinigungstage!A10:K31,11,FALSE)</f>
        <v>1</v>
      </c>
      <c r="M43" s="41">
        <f t="shared" si="0"/>
        <v>15.56</v>
      </c>
      <c r="N43" s="93"/>
      <c r="O43" s="41"/>
      <c r="P43" s="41">
        <f t="shared" si="1"/>
        <v>0</v>
      </c>
      <c r="Q43" s="41">
        <f t="shared" si="2"/>
        <v>0</v>
      </c>
      <c r="R43" s="41">
        <f t="shared" si="3"/>
        <v>0</v>
      </c>
      <c r="S43" s="4" t="str">
        <f t="shared" si="4"/>
        <v>Leistungswert eintragen</v>
      </c>
      <c r="U43" s="4">
        <f t="shared" si="5"/>
        <v>7</v>
      </c>
      <c r="V43" s="4">
        <f t="shared" si="6"/>
        <v>2.1</v>
      </c>
      <c r="W43" s="4">
        <f t="shared" si="7"/>
        <v>9.1</v>
      </c>
      <c r="X43" s="4" t="str">
        <f t="shared" si="8"/>
        <v/>
      </c>
    </row>
    <row r="44" spans="1:24" ht="15" customHeight="1" x14ac:dyDescent="0.2">
      <c r="A44" s="22">
        <v>23</v>
      </c>
      <c r="B44" s="91" t="s">
        <v>319</v>
      </c>
      <c r="C44" s="92" t="s">
        <v>271</v>
      </c>
      <c r="D44" s="92" t="s">
        <v>275</v>
      </c>
      <c r="E44" s="92" t="s">
        <v>320</v>
      </c>
      <c r="F44" s="92" t="s">
        <v>287</v>
      </c>
      <c r="G44" s="62">
        <v>24.34</v>
      </c>
      <c r="H44" s="62"/>
      <c r="I44" s="62"/>
      <c r="J44" s="22" t="s">
        <v>264</v>
      </c>
      <c r="K44" s="22" t="s">
        <v>144</v>
      </c>
      <c r="L44" s="41">
        <f>VLOOKUP(K44,Reinigungstage!A10:K31,11,FALSE)</f>
        <v>1</v>
      </c>
      <c r="M44" s="41">
        <f t="shared" si="0"/>
        <v>24.34</v>
      </c>
      <c r="N44" s="93"/>
      <c r="O44" s="41"/>
      <c r="P44" s="41">
        <f t="shared" si="1"/>
        <v>0</v>
      </c>
      <c r="Q44" s="41">
        <f t="shared" si="2"/>
        <v>0</v>
      </c>
      <c r="R44" s="41">
        <f t="shared" si="3"/>
        <v>0</v>
      </c>
      <c r="S44" s="4" t="str">
        <f t="shared" si="4"/>
        <v>Leistungswert eintragen</v>
      </c>
      <c r="U44" s="4">
        <f t="shared" si="5"/>
        <v>24</v>
      </c>
      <c r="V44" s="4">
        <f t="shared" si="6"/>
        <v>7.1999999999999993</v>
      </c>
      <c r="W44" s="4">
        <f t="shared" si="7"/>
        <v>31.2</v>
      </c>
      <c r="X44" s="4" t="str">
        <f t="shared" si="8"/>
        <v/>
      </c>
    </row>
    <row r="45" spans="1:24" ht="15" customHeight="1" x14ac:dyDescent="0.2">
      <c r="A45" s="22">
        <v>24</v>
      </c>
      <c r="B45" s="91" t="s">
        <v>321</v>
      </c>
      <c r="C45" s="92" t="s">
        <v>271</v>
      </c>
      <c r="D45" s="92" t="s">
        <v>275</v>
      </c>
      <c r="E45" s="92" t="s">
        <v>322</v>
      </c>
      <c r="F45" s="92" t="s">
        <v>227</v>
      </c>
      <c r="G45" s="62">
        <v>50.05</v>
      </c>
      <c r="H45" s="62"/>
      <c r="I45" s="62"/>
      <c r="J45" s="22" t="s">
        <v>265</v>
      </c>
      <c r="K45" s="22" t="s">
        <v>144</v>
      </c>
      <c r="L45" s="41">
        <f>VLOOKUP(K45,Reinigungstage!A10:K31,11,FALSE)</f>
        <v>1</v>
      </c>
      <c r="M45" s="41">
        <f t="shared" si="0"/>
        <v>50.05</v>
      </c>
      <c r="N45" s="93"/>
      <c r="O45" s="41"/>
      <c r="P45" s="41">
        <f t="shared" si="1"/>
        <v>0</v>
      </c>
      <c r="Q45" s="41">
        <f t="shared" si="2"/>
        <v>0</v>
      </c>
      <c r="R45" s="41">
        <f t="shared" si="3"/>
        <v>0</v>
      </c>
      <c r="S45" s="4" t="str">
        <f t="shared" si="4"/>
        <v>Leistungswert eintragen</v>
      </c>
      <c r="U45" s="4">
        <f t="shared" si="5"/>
        <v>14</v>
      </c>
      <c r="V45" s="4">
        <f t="shared" si="6"/>
        <v>4.2</v>
      </c>
      <c r="W45" s="4">
        <f t="shared" si="7"/>
        <v>18.2</v>
      </c>
      <c r="X45" s="4" t="str">
        <f t="shared" si="8"/>
        <v/>
      </c>
    </row>
    <row r="46" spans="1:24" ht="15" customHeight="1" x14ac:dyDescent="0.2">
      <c r="A46" s="22">
        <v>25</v>
      </c>
      <c r="B46" s="91" t="s">
        <v>323</v>
      </c>
      <c r="C46" s="92" t="s">
        <v>271</v>
      </c>
      <c r="D46" s="92" t="s">
        <v>275</v>
      </c>
      <c r="E46" s="92" t="s">
        <v>322</v>
      </c>
      <c r="F46" s="92" t="s">
        <v>227</v>
      </c>
      <c r="G46" s="62">
        <v>50.05</v>
      </c>
      <c r="H46" s="62"/>
      <c r="I46" s="62"/>
      <c r="J46" s="22" t="s">
        <v>265</v>
      </c>
      <c r="K46" s="22" t="s">
        <v>144</v>
      </c>
      <c r="L46" s="41">
        <f>VLOOKUP(K46,Reinigungstage!A10:K31,11,FALSE)</f>
        <v>1</v>
      </c>
      <c r="M46" s="41">
        <f t="shared" si="0"/>
        <v>50.05</v>
      </c>
      <c r="N46" s="93"/>
      <c r="O46" s="41"/>
      <c r="P46" s="41">
        <f t="shared" si="1"/>
        <v>0</v>
      </c>
      <c r="Q46" s="41">
        <f t="shared" si="2"/>
        <v>0</v>
      </c>
      <c r="R46" s="41">
        <f t="shared" si="3"/>
        <v>0</v>
      </c>
      <c r="S46" s="4" t="str">
        <f t="shared" si="4"/>
        <v>Leistungswert eintragen</v>
      </c>
      <c r="U46" s="4">
        <f t="shared" si="5"/>
        <v>14</v>
      </c>
      <c r="V46" s="4">
        <f t="shared" si="6"/>
        <v>4.2</v>
      </c>
      <c r="W46" s="4">
        <f t="shared" si="7"/>
        <v>18.2</v>
      </c>
      <c r="X46" s="4" t="str">
        <f t="shared" si="8"/>
        <v/>
      </c>
    </row>
    <row r="47" spans="1:24" ht="15" customHeight="1" x14ac:dyDescent="0.2">
      <c r="A47" s="22">
        <v>26</v>
      </c>
      <c r="B47" s="91" t="s">
        <v>324</v>
      </c>
      <c r="C47" s="92" t="s">
        <v>271</v>
      </c>
      <c r="D47" s="92" t="s">
        <v>275</v>
      </c>
      <c r="E47" s="92" t="s">
        <v>325</v>
      </c>
      <c r="F47" s="92" t="s">
        <v>287</v>
      </c>
      <c r="G47" s="62">
        <v>20.99</v>
      </c>
      <c r="H47" s="62"/>
      <c r="I47" s="62"/>
      <c r="J47" s="22" t="s">
        <v>264</v>
      </c>
      <c r="K47" s="22" t="s">
        <v>144</v>
      </c>
      <c r="L47" s="41">
        <f>VLOOKUP(K47,Reinigungstage!A10:K31,11,FALSE)</f>
        <v>1</v>
      </c>
      <c r="M47" s="41">
        <f t="shared" si="0"/>
        <v>20.99</v>
      </c>
      <c r="N47" s="93"/>
      <c r="O47" s="41"/>
      <c r="P47" s="41">
        <f t="shared" si="1"/>
        <v>0</v>
      </c>
      <c r="Q47" s="41">
        <f t="shared" si="2"/>
        <v>0</v>
      </c>
      <c r="R47" s="41">
        <f t="shared" si="3"/>
        <v>0</v>
      </c>
      <c r="S47" s="4" t="str">
        <f t="shared" si="4"/>
        <v>Leistungswert eintragen</v>
      </c>
      <c r="U47" s="4">
        <f t="shared" si="5"/>
        <v>24</v>
      </c>
      <c r="V47" s="4">
        <f t="shared" si="6"/>
        <v>7.1999999999999993</v>
      </c>
      <c r="W47" s="4">
        <f t="shared" si="7"/>
        <v>31.2</v>
      </c>
      <c r="X47" s="4" t="str">
        <f t="shared" si="8"/>
        <v/>
      </c>
    </row>
    <row r="48" spans="1:24" ht="15" customHeight="1" x14ac:dyDescent="0.2">
      <c r="A48" s="22">
        <v>27</v>
      </c>
      <c r="B48" s="91" t="s">
        <v>326</v>
      </c>
      <c r="C48" s="92" t="s">
        <v>271</v>
      </c>
      <c r="D48" s="92" t="s">
        <v>275</v>
      </c>
      <c r="E48" s="92" t="s">
        <v>322</v>
      </c>
      <c r="F48" s="92" t="s">
        <v>227</v>
      </c>
      <c r="G48" s="62">
        <v>50.05</v>
      </c>
      <c r="H48" s="62"/>
      <c r="I48" s="62"/>
      <c r="J48" s="22" t="s">
        <v>265</v>
      </c>
      <c r="K48" s="22" t="s">
        <v>144</v>
      </c>
      <c r="L48" s="41">
        <f>VLOOKUP(K48,Reinigungstage!A10:K31,11,FALSE)</f>
        <v>1</v>
      </c>
      <c r="M48" s="41">
        <f t="shared" si="0"/>
        <v>50.05</v>
      </c>
      <c r="N48" s="93"/>
      <c r="O48" s="41"/>
      <c r="P48" s="41">
        <f t="shared" si="1"/>
        <v>0</v>
      </c>
      <c r="Q48" s="41">
        <f t="shared" si="2"/>
        <v>0</v>
      </c>
      <c r="R48" s="41">
        <f t="shared" si="3"/>
        <v>0</v>
      </c>
      <c r="S48" s="4" t="str">
        <f t="shared" si="4"/>
        <v>Leistungswert eintragen</v>
      </c>
      <c r="U48" s="4">
        <f t="shared" si="5"/>
        <v>14</v>
      </c>
      <c r="V48" s="4">
        <f t="shared" si="6"/>
        <v>4.2</v>
      </c>
      <c r="W48" s="4">
        <f t="shared" si="7"/>
        <v>18.2</v>
      </c>
      <c r="X48" s="4" t="str">
        <f t="shared" si="8"/>
        <v/>
      </c>
    </row>
    <row r="49" spans="1:24" ht="15" customHeight="1" x14ac:dyDescent="0.2">
      <c r="A49" s="22">
        <v>28</v>
      </c>
      <c r="B49" s="91" t="s">
        <v>327</v>
      </c>
      <c r="C49" s="92" t="s">
        <v>271</v>
      </c>
      <c r="D49" s="92" t="s">
        <v>275</v>
      </c>
      <c r="E49" s="92" t="s">
        <v>328</v>
      </c>
      <c r="F49" s="92" t="s">
        <v>287</v>
      </c>
      <c r="G49" s="62">
        <v>249.06</v>
      </c>
      <c r="H49" s="62"/>
      <c r="I49" s="62"/>
      <c r="J49" s="22" t="s">
        <v>264</v>
      </c>
      <c r="K49" s="22" t="s">
        <v>144</v>
      </c>
      <c r="L49" s="41">
        <f>VLOOKUP(K49,Reinigungstage!A10:K31,11,FALSE)</f>
        <v>1</v>
      </c>
      <c r="M49" s="41">
        <f t="shared" si="0"/>
        <v>249.06</v>
      </c>
      <c r="N49" s="93"/>
      <c r="O49" s="41"/>
      <c r="P49" s="41">
        <f t="shared" si="1"/>
        <v>0</v>
      </c>
      <c r="Q49" s="41">
        <f t="shared" si="2"/>
        <v>0</v>
      </c>
      <c r="R49" s="41">
        <f t="shared" si="3"/>
        <v>0</v>
      </c>
      <c r="S49" s="4" t="str">
        <f t="shared" si="4"/>
        <v>Leistungswert eintragen</v>
      </c>
      <c r="U49" s="4">
        <f t="shared" si="5"/>
        <v>24</v>
      </c>
      <c r="V49" s="4">
        <f t="shared" si="6"/>
        <v>7.1999999999999993</v>
      </c>
      <c r="W49" s="4">
        <f t="shared" si="7"/>
        <v>31.2</v>
      </c>
      <c r="X49" s="4" t="str">
        <f t="shared" si="8"/>
        <v/>
      </c>
    </row>
    <row r="50" spans="1:24" ht="24.95" customHeight="1" x14ac:dyDescent="0.2">
      <c r="A50" s="22">
        <v>29</v>
      </c>
      <c r="B50" s="91" t="s">
        <v>329</v>
      </c>
      <c r="C50" s="92" t="s">
        <v>271</v>
      </c>
      <c r="D50" s="92" t="s">
        <v>275</v>
      </c>
      <c r="E50" s="92" t="s">
        <v>330</v>
      </c>
      <c r="F50" s="92" t="s">
        <v>227</v>
      </c>
      <c r="G50" s="62">
        <v>52.44</v>
      </c>
      <c r="H50" s="62"/>
      <c r="I50" s="62"/>
      <c r="J50" s="22" t="s">
        <v>265</v>
      </c>
      <c r="K50" s="22" t="s">
        <v>144</v>
      </c>
      <c r="L50" s="41">
        <f>VLOOKUP(K50,Reinigungstage!A10:K31,11,FALSE)</f>
        <v>1</v>
      </c>
      <c r="M50" s="41">
        <f t="shared" si="0"/>
        <v>52.44</v>
      </c>
      <c r="N50" s="93"/>
      <c r="O50" s="41"/>
      <c r="P50" s="41">
        <f t="shared" si="1"/>
        <v>0</v>
      </c>
      <c r="Q50" s="41">
        <f t="shared" si="2"/>
        <v>0</v>
      </c>
      <c r="R50" s="41">
        <f t="shared" si="3"/>
        <v>0</v>
      </c>
      <c r="S50" s="4" t="str">
        <f t="shared" si="4"/>
        <v>Leistungswert eintragen</v>
      </c>
      <c r="U50" s="4">
        <f t="shared" si="5"/>
        <v>14</v>
      </c>
      <c r="V50" s="4">
        <f t="shared" si="6"/>
        <v>4.2</v>
      </c>
      <c r="W50" s="4">
        <f t="shared" si="7"/>
        <v>18.2</v>
      </c>
      <c r="X50" s="4" t="str">
        <f t="shared" si="8"/>
        <v/>
      </c>
    </row>
    <row r="51" spans="1:24" ht="24.95" customHeight="1" x14ac:dyDescent="0.2">
      <c r="A51" s="22">
        <v>30</v>
      </c>
      <c r="B51" s="91" t="s">
        <v>331</v>
      </c>
      <c r="C51" s="92" t="s">
        <v>271</v>
      </c>
      <c r="D51" s="92" t="s">
        <v>275</v>
      </c>
      <c r="E51" s="92" t="s">
        <v>330</v>
      </c>
      <c r="F51" s="92" t="s">
        <v>227</v>
      </c>
      <c r="G51" s="62">
        <v>56.14</v>
      </c>
      <c r="H51" s="62"/>
      <c r="I51" s="62"/>
      <c r="J51" s="22" t="s">
        <v>265</v>
      </c>
      <c r="K51" s="22" t="s">
        <v>144</v>
      </c>
      <c r="L51" s="41">
        <f>VLOOKUP(K51,Reinigungstage!A10:K31,11,FALSE)</f>
        <v>1</v>
      </c>
      <c r="M51" s="41">
        <f t="shared" si="0"/>
        <v>56.14</v>
      </c>
      <c r="N51" s="93"/>
      <c r="O51" s="41"/>
      <c r="P51" s="41">
        <f t="shared" si="1"/>
        <v>0</v>
      </c>
      <c r="Q51" s="41">
        <f t="shared" si="2"/>
        <v>0</v>
      </c>
      <c r="R51" s="41">
        <f t="shared" si="3"/>
        <v>0</v>
      </c>
      <c r="S51" s="4" t="str">
        <f t="shared" si="4"/>
        <v>Leistungswert eintragen</v>
      </c>
      <c r="U51" s="4">
        <f t="shared" si="5"/>
        <v>14</v>
      </c>
      <c r="V51" s="4">
        <f t="shared" si="6"/>
        <v>4.2</v>
      </c>
      <c r="W51" s="4">
        <f t="shared" si="7"/>
        <v>18.2</v>
      </c>
      <c r="X51" s="4" t="str">
        <f t="shared" si="8"/>
        <v/>
      </c>
    </row>
    <row r="52" spans="1:24" ht="24.95" customHeight="1" x14ac:dyDescent="0.2">
      <c r="A52" s="22">
        <v>31</v>
      </c>
      <c r="B52" s="91" t="s">
        <v>332</v>
      </c>
      <c r="C52" s="92" t="s">
        <v>271</v>
      </c>
      <c r="D52" s="92" t="s">
        <v>275</v>
      </c>
      <c r="E52" s="92" t="s">
        <v>330</v>
      </c>
      <c r="F52" s="92" t="s">
        <v>227</v>
      </c>
      <c r="G52" s="62">
        <v>56.4</v>
      </c>
      <c r="H52" s="62"/>
      <c r="I52" s="62"/>
      <c r="J52" s="22" t="s">
        <v>265</v>
      </c>
      <c r="K52" s="22" t="s">
        <v>144</v>
      </c>
      <c r="L52" s="41">
        <f>VLOOKUP(K52,Reinigungstage!A10:K31,11,FALSE)</f>
        <v>1</v>
      </c>
      <c r="M52" s="41">
        <f t="shared" ref="M52:M83" si="9">ROUND(IF(L52=0,0,L52*G52),2)</f>
        <v>56.4</v>
      </c>
      <c r="N52" s="93"/>
      <c r="O52" s="41"/>
      <c r="P52" s="41">
        <f t="shared" ref="P52:P83" si="10">ROUND(IF(N52=0,0,M52/N52),2)</f>
        <v>0</v>
      </c>
      <c r="Q52" s="41">
        <f t="shared" ref="Q52:Q83" si="11">ROUND(IF(P52=0,0,P52*O52),2)</f>
        <v>0</v>
      </c>
      <c r="R52" s="41">
        <f t="shared" ref="R52:R83" si="12">ROUND(IF(P52=0,0,Q52/L52),2)</f>
        <v>0</v>
      </c>
      <c r="S52" s="4" t="str">
        <f t="shared" ref="S52:S83" si="13">IF(M52=0,"",IF(N52=0,"Leistungswert eintragen",IF(O52=0,"SVS prüfen","")))</f>
        <v>Leistungswert eintragen</v>
      </c>
      <c r="U52" s="4">
        <f t="shared" ref="U52:U83" si="14">VLOOKUP(J52,$U$4:$V$12,2,FALSE)</f>
        <v>14</v>
      </c>
      <c r="V52" s="4">
        <f t="shared" ref="V52:V83" si="15">U52*30%</f>
        <v>4.2</v>
      </c>
      <c r="W52" s="4">
        <f t="shared" ref="W52:W83" si="16">SUM(U52:V52)</f>
        <v>18.2</v>
      </c>
      <c r="X52" s="4" t="str">
        <f t="shared" ref="X52:X83" si="17">IF(N52=0,"",IF(W52&lt;N52,1,IF(W52&gt;=N52,0,"")))</f>
        <v/>
      </c>
    </row>
    <row r="53" spans="1:24" ht="24.95" customHeight="1" x14ac:dyDescent="0.2">
      <c r="A53" s="22">
        <v>32</v>
      </c>
      <c r="B53" s="91" t="s">
        <v>333</v>
      </c>
      <c r="C53" s="92" t="s">
        <v>271</v>
      </c>
      <c r="D53" s="92" t="s">
        <v>275</v>
      </c>
      <c r="E53" s="92" t="s">
        <v>330</v>
      </c>
      <c r="F53" s="92" t="s">
        <v>227</v>
      </c>
      <c r="G53" s="62">
        <v>56.14</v>
      </c>
      <c r="H53" s="62"/>
      <c r="I53" s="62"/>
      <c r="J53" s="22" t="s">
        <v>265</v>
      </c>
      <c r="K53" s="22" t="s">
        <v>144</v>
      </c>
      <c r="L53" s="41">
        <f>VLOOKUP(K53,Reinigungstage!A10:K31,11,FALSE)</f>
        <v>1</v>
      </c>
      <c r="M53" s="41">
        <f t="shared" si="9"/>
        <v>56.14</v>
      </c>
      <c r="N53" s="93"/>
      <c r="O53" s="41"/>
      <c r="P53" s="41">
        <f t="shared" si="10"/>
        <v>0</v>
      </c>
      <c r="Q53" s="41">
        <f t="shared" si="11"/>
        <v>0</v>
      </c>
      <c r="R53" s="41">
        <f t="shared" si="12"/>
        <v>0</v>
      </c>
      <c r="S53" s="4" t="str">
        <f t="shared" si="13"/>
        <v>Leistungswert eintragen</v>
      </c>
      <c r="U53" s="4">
        <f t="shared" si="14"/>
        <v>14</v>
      </c>
      <c r="V53" s="4">
        <f t="shared" si="15"/>
        <v>4.2</v>
      </c>
      <c r="W53" s="4">
        <f t="shared" si="16"/>
        <v>18.2</v>
      </c>
      <c r="X53" s="4" t="str">
        <f t="shared" si="17"/>
        <v/>
      </c>
    </row>
    <row r="54" spans="1:24" ht="24.95" customHeight="1" x14ac:dyDescent="0.2">
      <c r="A54" s="22">
        <v>33</v>
      </c>
      <c r="B54" s="91" t="s">
        <v>334</v>
      </c>
      <c r="C54" s="92" t="s">
        <v>271</v>
      </c>
      <c r="D54" s="92" t="s">
        <v>275</v>
      </c>
      <c r="E54" s="92" t="s">
        <v>330</v>
      </c>
      <c r="F54" s="92" t="s">
        <v>227</v>
      </c>
      <c r="G54" s="62">
        <v>30.85</v>
      </c>
      <c r="H54" s="62"/>
      <c r="I54" s="62"/>
      <c r="J54" s="22" t="s">
        <v>265</v>
      </c>
      <c r="K54" s="22" t="s">
        <v>144</v>
      </c>
      <c r="L54" s="41">
        <f>VLOOKUP(K54,Reinigungstage!A10:K31,11,FALSE)</f>
        <v>1</v>
      </c>
      <c r="M54" s="41">
        <f t="shared" si="9"/>
        <v>30.85</v>
      </c>
      <c r="N54" s="93"/>
      <c r="O54" s="41"/>
      <c r="P54" s="41">
        <f t="shared" si="10"/>
        <v>0</v>
      </c>
      <c r="Q54" s="41">
        <f t="shared" si="11"/>
        <v>0</v>
      </c>
      <c r="R54" s="41">
        <f t="shared" si="12"/>
        <v>0</v>
      </c>
      <c r="S54" s="4" t="str">
        <f t="shared" si="13"/>
        <v>Leistungswert eintragen</v>
      </c>
      <c r="U54" s="4">
        <f t="shared" si="14"/>
        <v>14</v>
      </c>
      <c r="V54" s="4">
        <f t="shared" si="15"/>
        <v>4.2</v>
      </c>
      <c r="W54" s="4">
        <f t="shared" si="16"/>
        <v>18.2</v>
      </c>
      <c r="X54" s="4" t="str">
        <f t="shared" si="17"/>
        <v/>
      </c>
    </row>
    <row r="55" spans="1:24" ht="24.95" customHeight="1" x14ac:dyDescent="0.2">
      <c r="A55" s="22">
        <v>34</v>
      </c>
      <c r="B55" s="91" t="s">
        <v>335</v>
      </c>
      <c r="C55" s="92" t="s">
        <v>271</v>
      </c>
      <c r="D55" s="92" t="s">
        <v>275</v>
      </c>
      <c r="E55" s="92" t="s">
        <v>330</v>
      </c>
      <c r="F55" s="92" t="s">
        <v>227</v>
      </c>
      <c r="G55" s="62">
        <v>36.5</v>
      </c>
      <c r="H55" s="62"/>
      <c r="I55" s="62"/>
      <c r="J55" s="22" t="s">
        <v>265</v>
      </c>
      <c r="K55" s="22" t="s">
        <v>144</v>
      </c>
      <c r="L55" s="41">
        <f>VLOOKUP(K55,Reinigungstage!A10:K31,11,FALSE)</f>
        <v>1</v>
      </c>
      <c r="M55" s="41">
        <f t="shared" si="9"/>
        <v>36.5</v>
      </c>
      <c r="N55" s="93"/>
      <c r="O55" s="41"/>
      <c r="P55" s="41">
        <f t="shared" si="10"/>
        <v>0</v>
      </c>
      <c r="Q55" s="41">
        <f t="shared" si="11"/>
        <v>0</v>
      </c>
      <c r="R55" s="41">
        <f t="shared" si="12"/>
        <v>0</v>
      </c>
      <c r="S55" s="4" t="str">
        <f t="shared" si="13"/>
        <v>Leistungswert eintragen</v>
      </c>
      <c r="U55" s="4">
        <f t="shared" si="14"/>
        <v>14</v>
      </c>
      <c r="V55" s="4">
        <f t="shared" si="15"/>
        <v>4.2</v>
      </c>
      <c r="W55" s="4">
        <f t="shared" si="16"/>
        <v>18.2</v>
      </c>
      <c r="X55" s="4" t="str">
        <f t="shared" si="17"/>
        <v/>
      </c>
    </row>
    <row r="56" spans="1:24" ht="15" customHeight="1" x14ac:dyDescent="0.2">
      <c r="A56" s="22">
        <v>35</v>
      </c>
      <c r="B56" s="91" t="s">
        <v>336</v>
      </c>
      <c r="C56" s="92" t="s">
        <v>271</v>
      </c>
      <c r="D56" s="92" t="s">
        <v>275</v>
      </c>
      <c r="E56" s="92" t="s">
        <v>337</v>
      </c>
      <c r="F56" s="92" t="s">
        <v>287</v>
      </c>
      <c r="G56" s="62">
        <v>120.45</v>
      </c>
      <c r="H56" s="62"/>
      <c r="I56" s="62"/>
      <c r="J56" s="22" t="s">
        <v>264</v>
      </c>
      <c r="K56" s="22" t="s">
        <v>144</v>
      </c>
      <c r="L56" s="41">
        <f>VLOOKUP(K56,Reinigungstage!A10:K31,11,FALSE)</f>
        <v>1</v>
      </c>
      <c r="M56" s="41">
        <f t="shared" si="9"/>
        <v>120.45</v>
      </c>
      <c r="N56" s="93"/>
      <c r="O56" s="41"/>
      <c r="P56" s="41">
        <f t="shared" si="10"/>
        <v>0</v>
      </c>
      <c r="Q56" s="41">
        <f t="shared" si="11"/>
        <v>0</v>
      </c>
      <c r="R56" s="41">
        <f t="shared" si="12"/>
        <v>0</v>
      </c>
      <c r="S56" s="4" t="str">
        <f t="shared" si="13"/>
        <v>Leistungswert eintragen</v>
      </c>
      <c r="U56" s="4">
        <f t="shared" si="14"/>
        <v>24</v>
      </c>
      <c r="V56" s="4">
        <f t="shared" si="15"/>
        <v>7.1999999999999993</v>
      </c>
      <c r="W56" s="4">
        <f t="shared" si="16"/>
        <v>31.2</v>
      </c>
      <c r="X56" s="4" t="str">
        <f t="shared" si="17"/>
        <v/>
      </c>
    </row>
    <row r="57" spans="1:24" ht="15" customHeight="1" x14ac:dyDescent="0.2">
      <c r="A57" s="22">
        <v>36</v>
      </c>
      <c r="B57" s="91" t="s">
        <v>338</v>
      </c>
      <c r="C57" s="92" t="s">
        <v>271</v>
      </c>
      <c r="D57" s="92" t="s">
        <v>275</v>
      </c>
      <c r="E57" s="92" t="s">
        <v>339</v>
      </c>
      <c r="F57" s="92" t="s">
        <v>227</v>
      </c>
      <c r="G57" s="62">
        <v>75.180000000000007</v>
      </c>
      <c r="H57" s="62"/>
      <c r="I57" s="62"/>
      <c r="J57" s="22" t="s">
        <v>265</v>
      </c>
      <c r="K57" s="22" t="s">
        <v>144</v>
      </c>
      <c r="L57" s="41">
        <f>VLOOKUP(K57,Reinigungstage!A10:K31,11,FALSE)</f>
        <v>1</v>
      </c>
      <c r="M57" s="41">
        <f t="shared" si="9"/>
        <v>75.180000000000007</v>
      </c>
      <c r="N57" s="93"/>
      <c r="O57" s="41"/>
      <c r="P57" s="41">
        <f t="shared" si="10"/>
        <v>0</v>
      </c>
      <c r="Q57" s="41">
        <f t="shared" si="11"/>
        <v>0</v>
      </c>
      <c r="R57" s="41">
        <f t="shared" si="12"/>
        <v>0</v>
      </c>
      <c r="S57" s="4" t="str">
        <f t="shared" si="13"/>
        <v>Leistungswert eintragen</v>
      </c>
      <c r="U57" s="4">
        <f t="shared" si="14"/>
        <v>14</v>
      </c>
      <c r="V57" s="4">
        <f t="shared" si="15"/>
        <v>4.2</v>
      </c>
      <c r="W57" s="4">
        <f t="shared" si="16"/>
        <v>18.2</v>
      </c>
      <c r="X57" s="4" t="str">
        <f t="shared" si="17"/>
        <v/>
      </c>
    </row>
    <row r="58" spans="1:24" ht="15" customHeight="1" x14ac:dyDescent="0.2">
      <c r="A58" s="22">
        <v>37</v>
      </c>
      <c r="B58" s="91" t="s">
        <v>340</v>
      </c>
      <c r="C58" s="92" t="s">
        <v>271</v>
      </c>
      <c r="D58" s="92" t="s">
        <v>275</v>
      </c>
      <c r="E58" s="92" t="s">
        <v>341</v>
      </c>
      <c r="F58" s="92" t="s">
        <v>287</v>
      </c>
      <c r="G58" s="62">
        <v>79.349999999999994</v>
      </c>
      <c r="H58" s="62"/>
      <c r="I58" s="62"/>
      <c r="J58" s="22" t="s">
        <v>270</v>
      </c>
      <c r="K58" s="22" t="s">
        <v>144</v>
      </c>
      <c r="L58" s="41">
        <f>VLOOKUP(K58,Reinigungstage!A10:K31,11,FALSE)</f>
        <v>1</v>
      </c>
      <c r="M58" s="41">
        <f t="shared" si="9"/>
        <v>79.349999999999994</v>
      </c>
      <c r="N58" s="93"/>
      <c r="O58" s="41"/>
      <c r="P58" s="41">
        <f t="shared" si="10"/>
        <v>0</v>
      </c>
      <c r="Q58" s="41">
        <f t="shared" si="11"/>
        <v>0</v>
      </c>
      <c r="R58" s="41">
        <f t="shared" si="12"/>
        <v>0</v>
      </c>
      <c r="S58" s="4" t="str">
        <f t="shared" si="13"/>
        <v>Leistungswert eintragen</v>
      </c>
      <c r="U58" s="4">
        <f t="shared" si="14"/>
        <v>14</v>
      </c>
      <c r="V58" s="4">
        <f t="shared" si="15"/>
        <v>4.2</v>
      </c>
      <c r="W58" s="4">
        <f t="shared" si="16"/>
        <v>18.2</v>
      </c>
      <c r="X58" s="4" t="str">
        <f t="shared" si="17"/>
        <v/>
      </c>
    </row>
    <row r="59" spans="1:24" ht="15" customHeight="1" x14ac:dyDescent="0.2">
      <c r="A59" s="22">
        <v>38</v>
      </c>
      <c r="B59" s="91" t="s">
        <v>342</v>
      </c>
      <c r="C59" s="92" t="s">
        <v>271</v>
      </c>
      <c r="D59" s="92" t="s">
        <v>275</v>
      </c>
      <c r="E59" s="92" t="s">
        <v>343</v>
      </c>
      <c r="F59" s="92" t="s">
        <v>227</v>
      </c>
      <c r="G59" s="62">
        <v>77.3</v>
      </c>
      <c r="H59" s="62"/>
      <c r="I59" s="62"/>
      <c r="J59" s="22" t="s">
        <v>265</v>
      </c>
      <c r="K59" s="22" t="s">
        <v>144</v>
      </c>
      <c r="L59" s="41">
        <f>VLOOKUP(K59,Reinigungstage!A10:K31,11,FALSE)</f>
        <v>1</v>
      </c>
      <c r="M59" s="41">
        <f t="shared" si="9"/>
        <v>77.3</v>
      </c>
      <c r="N59" s="93"/>
      <c r="O59" s="41"/>
      <c r="P59" s="41">
        <f t="shared" si="10"/>
        <v>0</v>
      </c>
      <c r="Q59" s="41">
        <f t="shared" si="11"/>
        <v>0</v>
      </c>
      <c r="R59" s="41">
        <f t="shared" si="12"/>
        <v>0</v>
      </c>
      <c r="S59" s="4" t="str">
        <f t="shared" si="13"/>
        <v>Leistungswert eintragen</v>
      </c>
      <c r="U59" s="4">
        <f t="shared" si="14"/>
        <v>14</v>
      </c>
      <c r="V59" s="4">
        <f t="shared" si="15"/>
        <v>4.2</v>
      </c>
      <c r="W59" s="4">
        <f t="shared" si="16"/>
        <v>18.2</v>
      </c>
      <c r="X59" s="4" t="str">
        <f t="shared" si="17"/>
        <v/>
      </c>
    </row>
    <row r="60" spans="1:24" ht="15" customHeight="1" x14ac:dyDescent="0.2">
      <c r="A60" s="22">
        <v>39</v>
      </c>
      <c r="B60" s="91" t="s">
        <v>344</v>
      </c>
      <c r="C60" s="92" t="s">
        <v>271</v>
      </c>
      <c r="D60" s="92" t="s">
        <v>275</v>
      </c>
      <c r="E60" s="92" t="s">
        <v>345</v>
      </c>
      <c r="F60" s="92" t="s">
        <v>227</v>
      </c>
      <c r="G60" s="62">
        <v>77.3</v>
      </c>
      <c r="H60" s="62"/>
      <c r="I60" s="62"/>
      <c r="J60" s="22" t="s">
        <v>265</v>
      </c>
      <c r="K60" s="22" t="s">
        <v>144</v>
      </c>
      <c r="L60" s="41">
        <f>VLOOKUP(K60,Reinigungstage!A10:K31,11,FALSE)</f>
        <v>1</v>
      </c>
      <c r="M60" s="41">
        <f t="shared" si="9"/>
        <v>77.3</v>
      </c>
      <c r="N60" s="93"/>
      <c r="O60" s="41"/>
      <c r="P60" s="41">
        <f t="shared" si="10"/>
        <v>0</v>
      </c>
      <c r="Q60" s="41">
        <f t="shared" si="11"/>
        <v>0</v>
      </c>
      <c r="R60" s="41">
        <f t="shared" si="12"/>
        <v>0</v>
      </c>
      <c r="S60" s="4" t="str">
        <f t="shared" si="13"/>
        <v>Leistungswert eintragen</v>
      </c>
      <c r="U60" s="4">
        <f t="shared" si="14"/>
        <v>14</v>
      </c>
      <c r="V60" s="4">
        <f t="shared" si="15"/>
        <v>4.2</v>
      </c>
      <c r="W60" s="4">
        <f t="shared" si="16"/>
        <v>18.2</v>
      </c>
      <c r="X60" s="4" t="str">
        <f t="shared" si="17"/>
        <v/>
      </c>
    </row>
    <row r="61" spans="1:24" ht="15" customHeight="1" x14ac:dyDescent="0.2">
      <c r="A61" s="22">
        <v>40</v>
      </c>
      <c r="B61" s="91" t="s">
        <v>346</v>
      </c>
      <c r="C61" s="92" t="s">
        <v>271</v>
      </c>
      <c r="D61" s="92" t="s">
        <v>275</v>
      </c>
      <c r="E61" s="92" t="s">
        <v>347</v>
      </c>
      <c r="F61" s="92" t="s">
        <v>287</v>
      </c>
      <c r="G61" s="62">
        <v>69.19</v>
      </c>
      <c r="H61" s="62"/>
      <c r="I61" s="62"/>
      <c r="J61" s="22" t="s">
        <v>270</v>
      </c>
      <c r="K61" s="22" t="s">
        <v>144</v>
      </c>
      <c r="L61" s="41">
        <f>VLOOKUP(K61,Reinigungstage!A10:K31,11,FALSE)</f>
        <v>1</v>
      </c>
      <c r="M61" s="41">
        <f t="shared" si="9"/>
        <v>69.19</v>
      </c>
      <c r="N61" s="93"/>
      <c r="O61" s="41"/>
      <c r="P61" s="41">
        <f t="shared" si="10"/>
        <v>0</v>
      </c>
      <c r="Q61" s="41">
        <f t="shared" si="11"/>
        <v>0</v>
      </c>
      <c r="R61" s="41">
        <f t="shared" si="12"/>
        <v>0</v>
      </c>
      <c r="S61" s="4" t="str">
        <f t="shared" si="13"/>
        <v>Leistungswert eintragen</v>
      </c>
      <c r="U61" s="4">
        <f t="shared" si="14"/>
        <v>14</v>
      </c>
      <c r="V61" s="4">
        <f t="shared" si="15"/>
        <v>4.2</v>
      </c>
      <c r="W61" s="4">
        <f t="shared" si="16"/>
        <v>18.2</v>
      </c>
      <c r="X61" s="4" t="str">
        <f t="shared" si="17"/>
        <v/>
      </c>
    </row>
    <row r="62" spans="1:24" ht="15" customHeight="1" x14ac:dyDescent="0.2">
      <c r="A62" s="22">
        <v>41</v>
      </c>
      <c r="B62" s="91" t="s">
        <v>348</v>
      </c>
      <c r="C62" s="92" t="s">
        <v>271</v>
      </c>
      <c r="D62" s="92" t="s">
        <v>275</v>
      </c>
      <c r="E62" s="92" t="s">
        <v>349</v>
      </c>
      <c r="F62" s="92" t="s">
        <v>227</v>
      </c>
      <c r="G62" s="62">
        <v>77.3</v>
      </c>
      <c r="H62" s="62"/>
      <c r="I62" s="62"/>
      <c r="J62" s="22" t="s">
        <v>266</v>
      </c>
      <c r="K62" s="22" t="s">
        <v>144</v>
      </c>
      <c r="L62" s="41">
        <f>VLOOKUP(K62,Reinigungstage!A10:K31,11,FALSE)</f>
        <v>1</v>
      </c>
      <c r="M62" s="41">
        <f t="shared" si="9"/>
        <v>77.3</v>
      </c>
      <c r="N62" s="93"/>
      <c r="O62" s="41"/>
      <c r="P62" s="41">
        <f t="shared" si="10"/>
        <v>0</v>
      </c>
      <c r="Q62" s="41">
        <f t="shared" si="11"/>
        <v>0</v>
      </c>
      <c r="R62" s="41">
        <f t="shared" si="12"/>
        <v>0</v>
      </c>
      <c r="S62" s="4" t="str">
        <f t="shared" si="13"/>
        <v>Leistungswert eintragen</v>
      </c>
      <c r="U62" s="4">
        <f t="shared" si="14"/>
        <v>15</v>
      </c>
      <c r="V62" s="4">
        <f t="shared" si="15"/>
        <v>4.5</v>
      </c>
      <c r="W62" s="4">
        <f t="shared" si="16"/>
        <v>19.5</v>
      </c>
      <c r="X62" s="4" t="str">
        <f t="shared" si="17"/>
        <v/>
      </c>
    </row>
    <row r="63" spans="1:24" ht="15" customHeight="1" x14ac:dyDescent="0.2">
      <c r="A63" s="22">
        <v>42</v>
      </c>
      <c r="B63" s="91" t="s">
        <v>350</v>
      </c>
      <c r="C63" s="92" t="s">
        <v>271</v>
      </c>
      <c r="D63" s="92" t="s">
        <v>275</v>
      </c>
      <c r="E63" s="92" t="s">
        <v>349</v>
      </c>
      <c r="F63" s="92" t="s">
        <v>227</v>
      </c>
      <c r="G63" s="62">
        <v>77.3</v>
      </c>
      <c r="H63" s="62"/>
      <c r="I63" s="62"/>
      <c r="J63" s="22" t="s">
        <v>266</v>
      </c>
      <c r="K63" s="22" t="s">
        <v>144</v>
      </c>
      <c r="L63" s="41">
        <f>VLOOKUP(K63,Reinigungstage!A10:K31,11,FALSE)</f>
        <v>1</v>
      </c>
      <c r="M63" s="41">
        <f t="shared" si="9"/>
        <v>77.3</v>
      </c>
      <c r="N63" s="93"/>
      <c r="O63" s="41"/>
      <c r="P63" s="41">
        <f t="shared" si="10"/>
        <v>0</v>
      </c>
      <c r="Q63" s="41">
        <f t="shared" si="11"/>
        <v>0</v>
      </c>
      <c r="R63" s="41">
        <f t="shared" si="12"/>
        <v>0</v>
      </c>
      <c r="S63" s="4" t="str">
        <f t="shared" si="13"/>
        <v>Leistungswert eintragen</v>
      </c>
      <c r="U63" s="4">
        <f t="shared" si="14"/>
        <v>15</v>
      </c>
      <c r="V63" s="4">
        <f t="shared" si="15"/>
        <v>4.5</v>
      </c>
      <c r="W63" s="4">
        <f t="shared" si="16"/>
        <v>19.5</v>
      </c>
      <c r="X63" s="4" t="str">
        <f t="shared" si="17"/>
        <v/>
      </c>
    </row>
    <row r="64" spans="1:24" ht="15" customHeight="1" x14ac:dyDescent="0.2">
      <c r="A64" s="22">
        <v>43</v>
      </c>
      <c r="B64" s="91" t="s">
        <v>351</v>
      </c>
      <c r="C64" s="92" t="s">
        <v>271</v>
      </c>
      <c r="D64" s="92" t="s">
        <v>275</v>
      </c>
      <c r="E64" s="92" t="s">
        <v>226</v>
      </c>
      <c r="F64" s="92" t="s">
        <v>287</v>
      </c>
      <c r="G64" s="62">
        <v>29.05</v>
      </c>
      <c r="H64" s="62"/>
      <c r="I64" s="62"/>
      <c r="J64" s="22" t="s">
        <v>264</v>
      </c>
      <c r="K64" s="22" t="s">
        <v>144</v>
      </c>
      <c r="L64" s="41">
        <f>VLOOKUP(K64,Reinigungstage!A10:K31,11,FALSE)</f>
        <v>1</v>
      </c>
      <c r="M64" s="41">
        <f t="shared" si="9"/>
        <v>29.05</v>
      </c>
      <c r="N64" s="93"/>
      <c r="O64" s="41"/>
      <c r="P64" s="41">
        <f t="shared" si="10"/>
        <v>0</v>
      </c>
      <c r="Q64" s="41">
        <f t="shared" si="11"/>
        <v>0</v>
      </c>
      <c r="R64" s="41">
        <f t="shared" si="12"/>
        <v>0</v>
      </c>
      <c r="S64" s="4" t="str">
        <f t="shared" si="13"/>
        <v>Leistungswert eintragen</v>
      </c>
      <c r="U64" s="4">
        <f t="shared" si="14"/>
        <v>24</v>
      </c>
      <c r="V64" s="4">
        <f t="shared" si="15"/>
        <v>7.1999999999999993</v>
      </c>
      <c r="W64" s="4">
        <f t="shared" si="16"/>
        <v>31.2</v>
      </c>
      <c r="X64" s="4" t="str">
        <f t="shared" si="17"/>
        <v/>
      </c>
    </row>
    <row r="65" spans="1:24" ht="15" customHeight="1" x14ac:dyDescent="0.2">
      <c r="A65" s="22">
        <v>44</v>
      </c>
      <c r="B65" s="91" t="s">
        <v>352</v>
      </c>
      <c r="C65" s="92" t="s">
        <v>271</v>
      </c>
      <c r="D65" s="92" t="s">
        <v>275</v>
      </c>
      <c r="E65" s="92" t="s">
        <v>353</v>
      </c>
      <c r="F65" s="92" t="s">
        <v>227</v>
      </c>
      <c r="G65" s="62">
        <v>75.28</v>
      </c>
      <c r="H65" s="62"/>
      <c r="I65" s="62"/>
      <c r="J65" s="22" t="s">
        <v>265</v>
      </c>
      <c r="K65" s="22" t="s">
        <v>144</v>
      </c>
      <c r="L65" s="41">
        <f>VLOOKUP(K65,Reinigungstage!A10:K31,11,FALSE)</f>
        <v>1</v>
      </c>
      <c r="M65" s="41">
        <f t="shared" si="9"/>
        <v>75.28</v>
      </c>
      <c r="N65" s="93"/>
      <c r="O65" s="41"/>
      <c r="P65" s="41">
        <f t="shared" si="10"/>
        <v>0</v>
      </c>
      <c r="Q65" s="41">
        <f t="shared" si="11"/>
        <v>0</v>
      </c>
      <c r="R65" s="41">
        <f t="shared" si="12"/>
        <v>0</v>
      </c>
      <c r="S65" s="4" t="str">
        <f t="shared" si="13"/>
        <v>Leistungswert eintragen</v>
      </c>
      <c r="U65" s="4">
        <f t="shared" si="14"/>
        <v>14</v>
      </c>
      <c r="V65" s="4">
        <f t="shared" si="15"/>
        <v>4.2</v>
      </c>
      <c r="W65" s="4">
        <f t="shared" si="16"/>
        <v>18.2</v>
      </c>
      <c r="X65" s="4" t="str">
        <f t="shared" si="17"/>
        <v/>
      </c>
    </row>
    <row r="66" spans="1:24" ht="15" customHeight="1" x14ac:dyDescent="0.2">
      <c r="A66" s="22">
        <v>45</v>
      </c>
      <c r="B66" s="91" t="s">
        <v>354</v>
      </c>
      <c r="C66" s="92" t="s">
        <v>355</v>
      </c>
      <c r="D66" s="92" t="s">
        <v>275</v>
      </c>
      <c r="E66" s="92" t="s">
        <v>356</v>
      </c>
      <c r="F66" s="92" t="s">
        <v>227</v>
      </c>
      <c r="G66" s="62">
        <v>78.89</v>
      </c>
      <c r="H66" s="62"/>
      <c r="I66" s="62"/>
      <c r="J66" s="22" t="s">
        <v>265</v>
      </c>
      <c r="K66" s="22" t="s">
        <v>144</v>
      </c>
      <c r="L66" s="41">
        <f>VLOOKUP(K66,Reinigungstage!A10:K31,11,FALSE)</f>
        <v>1</v>
      </c>
      <c r="M66" s="41">
        <f t="shared" si="9"/>
        <v>78.89</v>
      </c>
      <c r="N66" s="93"/>
      <c r="O66" s="41"/>
      <c r="P66" s="41">
        <f t="shared" si="10"/>
        <v>0</v>
      </c>
      <c r="Q66" s="41">
        <f t="shared" si="11"/>
        <v>0</v>
      </c>
      <c r="R66" s="41">
        <f t="shared" si="12"/>
        <v>0</v>
      </c>
      <c r="S66" s="4" t="str">
        <f t="shared" si="13"/>
        <v>Leistungswert eintragen</v>
      </c>
      <c r="U66" s="4">
        <f t="shared" si="14"/>
        <v>14</v>
      </c>
      <c r="V66" s="4">
        <f t="shared" si="15"/>
        <v>4.2</v>
      </c>
      <c r="W66" s="4">
        <f t="shared" si="16"/>
        <v>18.2</v>
      </c>
      <c r="X66" s="4" t="str">
        <f t="shared" si="17"/>
        <v/>
      </c>
    </row>
    <row r="67" spans="1:24" ht="15" customHeight="1" x14ac:dyDescent="0.2">
      <c r="A67" s="22">
        <v>46</v>
      </c>
      <c r="B67" s="91" t="s">
        <v>357</v>
      </c>
      <c r="C67" s="92" t="s">
        <v>355</v>
      </c>
      <c r="D67" s="92" t="s">
        <v>275</v>
      </c>
      <c r="E67" s="92" t="s">
        <v>358</v>
      </c>
      <c r="F67" s="92" t="s">
        <v>227</v>
      </c>
      <c r="G67" s="62">
        <v>66.8</v>
      </c>
      <c r="H67" s="62"/>
      <c r="I67" s="62"/>
      <c r="J67" s="22" t="s">
        <v>265</v>
      </c>
      <c r="K67" s="22" t="s">
        <v>144</v>
      </c>
      <c r="L67" s="41">
        <f>VLOOKUP(K67,Reinigungstage!A10:K31,11,FALSE)</f>
        <v>1</v>
      </c>
      <c r="M67" s="41">
        <f t="shared" si="9"/>
        <v>66.8</v>
      </c>
      <c r="N67" s="93"/>
      <c r="O67" s="41"/>
      <c r="P67" s="41">
        <f t="shared" si="10"/>
        <v>0</v>
      </c>
      <c r="Q67" s="41">
        <f t="shared" si="11"/>
        <v>0</v>
      </c>
      <c r="R67" s="41">
        <f t="shared" si="12"/>
        <v>0</v>
      </c>
      <c r="S67" s="4" t="str">
        <f t="shared" si="13"/>
        <v>Leistungswert eintragen</v>
      </c>
      <c r="U67" s="4">
        <f t="shared" si="14"/>
        <v>14</v>
      </c>
      <c r="V67" s="4">
        <f t="shared" si="15"/>
        <v>4.2</v>
      </c>
      <c r="W67" s="4">
        <f t="shared" si="16"/>
        <v>18.2</v>
      </c>
      <c r="X67" s="4" t="str">
        <f t="shared" si="17"/>
        <v/>
      </c>
    </row>
    <row r="68" spans="1:24" ht="24.95" customHeight="1" x14ac:dyDescent="0.2">
      <c r="A68" s="22">
        <v>47</v>
      </c>
      <c r="B68" s="91" t="s">
        <v>359</v>
      </c>
      <c r="C68" s="92" t="s">
        <v>355</v>
      </c>
      <c r="D68" s="92" t="s">
        <v>275</v>
      </c>
      <c r="E68" s="92" t="s">
        <v>580</v>
      </c>
      <c r="F68" s="92" t="s">
        <v>227</v>
      </c>
      <c r="G68" s="62">
        <v>20.95</v>
      </c>
      <c r="H68" s="62"/>
      <c r="I68" s="62"/>
      <c r="J68" s="22" t="s">
        <v>266</v>
      </c>
      <c r="K68" s="22" t="s">
        <v>144</v>
      </c>
      <c r="L68" s="41">
        <f>VLOOKUP(K68,Reinigungstage!A10:K31,11,FALSE)</f>
        <v>1</v>
      </c>
      <c r="M68" s="41">
        <f t="shared" si="9"/>
        <v>20.95</v>
      </c>
      <c r="N68" s="93"/>
      <c r="O68" s="41"/>
      <c r="P68" s="41">
        <f t="shared" si="10"/>
        <v>0</v>
      </c>
      <c r="Q68" s="41">
        <f t="shared" si="11"/>
        <v>0</v>
      </c>
      <c r="R68" s="41">
        <f t="shared" si="12"/>
        <v>0</v>
      </c>
      <c r="S68" s="4" t="str">
        <f t="shared" si="13"/>
        <v>Leistungswert eintragen</v>
      </c>
      <c r="U68" s="4">
        <f t="shared" si="14"/>
        <v>15</v>
      </c>
      <c r="V68" s="4">
        <f t="shared" si="15"/>
        <v>4.5</v>
      </c>
      <c r="W68" s="4">
        <f t="shared" si="16"/>
        <v>19.5</v>
      </c>
      <c r="X68" s="4" t="str">
        <f t="shared" si="17"/>
        <v/>
      </c>
    </row>
    <row r="69" spans="1:24" ht="15" customHeight="1" x14ac:dyDescent="0.2">
      <c r="A69" s="22">
        <v>48</v>
      </c>
      <c r="B69" s="91" t="s">
        <v>360</v>
      </c>
      <c r="C69" s="92" t="s">
        <v>355</v>
      </c>
      <c r="D69" s="92" t="s">
        <v>275</v>
      </c>
      <c r="E69" s="92" t="s">
        <v>361</v>
      </c>
      <c r="F69" s="92" t="s">
        <v>227</v>
      </c>
      <c r="G69" s="62">
        <v>14.41</v>
      </c>
      <c r="H69" s="62"/>
      <c r="I69" s="62"/>
      <c r="J69" s="22" t="s">
        <v>266</v>
      </c>
      <c r="K69" s="22" t="s">
        <v>144</v>
      </c>
      <c r="L69" s="41">
        <f>VLOOKUP(K69,Reinigungstage!A10:K31,11,FALSE)</f>
        <v>1</v>
      </c>
      <c r="M69" s="41">
        <f t="shared" si="9"/>
        <v>14.41</v>
      </c>
      <c r="N69" s="93"/>
      <c r="O69" s="41"/>
      <c r="P69" s="41">
        <f t="shared" si="10"/>
        <v>0</v>
      </c>
      <c r="Q69" s="41">
        <f t="shared" si="11"/>
        <v>0</v>
      </c>
      <c r="R69" s="41">
        <f t="shared" si="12"/>
        <v>0</v>
      </c>
      <c r="S69" s="4" t="str">
        <f t="shared" si="13"/>
        <v>Leistungswert eintragen</v>
      </c>
      <c r="U69" s="4">
        <f t="shared" si="14"/>
        <v>15</v>
      </c>
      <c r="V69" s="4">
        <f t="shared" si="15"/>
        <v>4.5</v>
      </c>
      <c r="W69" s="4">
        <f t="shared" si="16"/>
        <v>19.5</v>
      </c>
      <c r="X69" s="4" t="str">
        <f t="shared" si="17"/>
        <v/>
      </c>
    </row>
    <row r="70" spans="1:24" ht="15" customHeight="1" x14ac:dyDescent="0.2">
      <c r="A70" s="22">
        <v>49</v>
      </c>
      <c r="B70" s="91" t="s">
        <v>362</v>
      </c>
      <c r="C70" s="92" t="s">
        <v>355</v>
      </c>
      <c r="D70" s="92" t="s">
        <v>275</v>
      </c>
      <c r="E70" s="92" t="s">
        <v>363</v>
      </c>
      <c r="F70" s="92" t="s">
        <v>227</v>
      </c>
      <c r="G70" s="62">
        <v>28.5</v>
      </c>
      <c r="H70" s="62"/>
      <c r="I70" s="62"/>
      <c r="J70" s="22" t="s">
        <v>265</v>
      </c>
      <c r="K70" s="22" t="s">
        <v>144</v>
      </c>
      <c r="L70" s="41">
        <f>VLOOKUP(K70,Reinigungstage!A10:K31,11,FALSE)</f>
        <v>1</v>
      </c>
      <c r="M70" s="41">
        <f t="shared" si="9"/>
        <v>28.5</v>
      </c>
      <c r="N70" s="93"/>
      <c r="O70" s="41"/>
      <c r="P70" s="41">
        <f t="shared" si="10"/>
        <v>0</v>
      </c>
      <c r="Q70" s="41">
        <f t="shared" si="11"/>
        <v>0</v>
      </c>
      <c r="R70" s="41">
        <f t="shared" si="12"/>
        <v>0</v>
      </c>
      <c r="S70" s="4" t="str">
        <f t="shared" si="13"/>
        <v>Leistungswert eintragen</v>
      </c>
      <c r="U70" s="4">
        <f t="shared" si="14"/>
        <v>14</v>
      </c>
      <c r="V70" s="4">
        <f t="shared" si="15"/>
        <v>4.2</v>
      </c>
      <c r="W70" s="4">
        <f t="shared" si="16"/>
        <v>18.2</v>
      </c>
      <c r="X70" s="4" t="str">
        <f t="shared" si="17"/>
        <v/>
      </c>
    </row>
    <row r="71" spans="1:24" ht="15" customHeight="1" x14ac:dyDescent="0.2">
      <c r="A71" s="22">
        <v>50</v>
      </c>
      <c r="B71" s="91" t="s">
        <v>364</v>
      </c>
      <c r="C71" s="92" t="s">
        <v>355</v>
      </c>
      <c r="D71" s="92" t="s">
        <v>275</v>
      </c>
      <c r="E71" s="92" t="s">
        <v>235</v>
      </c>
      <c r="F71" s="92" t="s">
        <v>287</v>
      </c>
      <c r="G71" s="62">
        <v>15.07</v>
      </c>
      <c r="H71" s="62"/>
      <c r="I71" s="62"/>
      <c r="J71" s="22" t="s">
        <v>267</v>
      </c>
      <c r="K71" s="22" t="s">
        <v>144</v>
      </c>
      <c r="L71" s="41">
        <f>VLOOKUP(K71,Reinigungstage!A10:K31,11,FALSE)</f>
        <v>1</v>
      </c>
      <c r="M71" s="41">
        <f t="shared" si="9"/>
        <v>15.07</v>
      </c>
      <c r="N71" s="93"/>
      <c r="O71" s="41"/>
      <c r="P71" s="41">
        <f t="shared" si="10"/>
        <v>0</v>
      </c>
      <c r="Q71" s="41">
        <f t="shared" si="11"/>
        <v>0</v>
      </c>
      <c r="R71" s="41">
        <f t="shared" si="12"/>
        <v>0</v>
      </c>
      <c r="S71" s="4" t="str">
        <f t="shared" si="13"/>
        <v>Leistungswert eintragen</v>
      </c>
      <c r="U71" s="4">
        <f t="shared" si="14"/>
        <v>7</v>
      </c>
      <c r="V71" s="4">
        <f t="shared" si="15"/>
        <v>2.1</v>
      </c>
      <c r="W71" s="4">
        <f t="shared" si="16"/>
        <v>9.1</v>
      </c>
      <c r="X71" s="4" t="str">
        <f t="shared" si="17"/>
        <v/>
      </c>
    </row>
    <row r="72" spans="1:24" ht="15" customHeight="1" x14ac:dyDescent="0.2">
      <c r="A72" s="22">
        <v>51</v>
      </c>
      <c r="B72" s="91" t="s">
        <v>365</v>
      </c>
      <c r="C72" s="92" t="s">
        <v>355</v>
      </c>
      <c r="D72" s="92" t="s">
        <v>275</v>
      </c>
      <c r="E72" s="92" t="s">
        <v>366</v>
      </c>
      <c r="F72" s="92" t="s">
        <v>227</v>
      </c>
      <c r="G72" s="62">
        <v>87.5</v>
      </c>
      <c r="H72" s="62"/>
      <c r="I72" s="62"/>
      <c r="J72" s="22" t="s">
        <v>264</v>
      </c>
      <c r="K72" s="22" t="s">
        <v>144</v>
      </c>
      <c r="L72" s="41">
        <f>VLOOKUP(K72,Reinigungstage!A10:K31,11,FALSE)</f>
        <v>1</v>
      </c>
      <c r="M72" s="41">
        <f t="shared" si="9"/>
        <v>87.5</v>
      </c>
      <c r="N72" s="93"/>
      <c r="O72" s="41"/>
      <c r="P72" s="41">
        <f t="shared" si="10"/>
        <v>0</v>
      </c>
      <c r="Q72" s="41">
        <f t="shared" si="11"/>
        <v>0</v>
      </c>
      <c r="R72" s="41">
        <f t="shared" si="12"/>
        <v>0</v>
      </c>
      <c r="S72" s="4" t="str">
        <f t="shared" si="13"/>
        <v>Leistungswert eintragen</v>
      </c>
      <c r="U72" s="4">
        <f t="shared" si="14"/>
        <v>24</v>
      </c>
      <c r="V72" s="4">
        <f t="shared" si="15"/>
        <v>7.1999999999999993</v>
      </c>
      <c r="W72" s="4">
        <f t="shared" si="16"/>
        <v>31.2</v>
      </c>
      <c r="X72" s="4" t="str">
        <f t="shared" si="17"/>
        <v/>
      </c>
    </row>
    <row r="73" spans="1:24" ht="15" customHeight="1" x14ac:dyDescent="0.2">
      <c r="A73" s="22">
        <v>52</v>
      </c>
      <c r="B73" s="91" t="s">
        <v>367</v>
      </c>
      <c r="C73" s="92" t="s">
        <v>355</v>
      </c>
      <c r="D73" s="92" t="s">
        <v>275</v>
      </c>
      <c r="E73" s="92" t="s">
        <v>293</v>
      </c>
      <c r="F73" s="92" t="s">
        <v>287</v>
      </c>
      <c r="G73" s="62">
        <v>18.28</v>
      </c>
      <c r="H73" s="62"/>
      <c r="I73" s="62"/>
      <c r="J73" s="22" t="s">
        <v>270</v>
      </c>
      <c r="K73" s="22" t="s">
        <v>144</v>
      </c>
      <c r="L73" s="41">
        <f>VLOOKUP(K73,Reinigungstage!A10:K31,11,FALSE)</f>
        <v>1</v>
      </c>
      <c r="M73" s="41">
        <f t="shared" si="9"/>
        <v>18.28</v>
      </c>
      <c r="N73" s="93"/>
      <c r="O73" s="41"/>
      <c r="P73" s="41">
        <f t="shared" si="10"/>
        <v>0</v>
      </c>
      <c r="Q73" s="41">
        <f t="shared" si="11"/>
        <v>0</v>
      </c>
      <c r="R73" s="41">
        <f t="shared" si="12"/>
        <v>0</v>
      </c>
      <c r="S73" s="4" t="str">
        <f t="shared" si="13"/>
        <v>Leistungswert eintragen</v>
      </c>
      <c r="U73" s="4">
        <f t="shared" si="14"/>
        <v>14</v>
      </c>
      <c r="V73" s="4">
        <f t="shared" si="15"/>
        <v>4.2</v>
      </c>
      <c r="W73" s="4">
        <f t="shared" si="16"/>
        <v>18.2</v>
      </c>
      <c r="X73" s="4" t="str">
        <f t="shared" si="17"/>
        <v/>
      </c>
    </row>
    <row r="74" spans="1:24" ht="15" customHeight="1" x14ac:dyDescent="0.2">
      <c r="A74" s="22">
        <v>53</v>
      </c>
      <c r="B74" s="91" t="s">
        <v>368</v>
      </c>
      <c r="C74" s="92" t="s">
        <v>355</v>
      </c>
      <c r="D74" s="92" t="s">
        <v>275</v>
      </c>
      <c r="E74" s="92" t="s">
        <v>369</v>
      </c>
      <c r="F74" s="92" t="s">
        <v>287</v>
      </c>
      <c r="G74" s="62">
        <v>15.07</v>
      </c>
      <c r="H74" s="62"/>
      <c r="I74" s="62"/>
      <c r="J74" s="22" t="s">
        <v>267</v>
      </c>
      <c r="K74" s="22" t="s">
        <v>144</v>
      </c>
      <c r="L74" s="41">
        <f>VLOOKUP(K74,Reinigungstage!A10:K31,11,FALSE)</f>
        <v>1</v>
      </c>
      <c r="M74" s="41">
        <f t="shared" si="9"/>
        <v>15.07</v>
      </c>
      <c r="N74" s="93"/>
      <c r="O74" s="41"/>
      <c r="P74" s="41">
        <f t="shared" si="10"/>
        <v>0</v>
      </c>
      <c r="Q74" s="41">
        <f t="shared" si="11"/>
        <v>0</v>
      </c>
      <c r="R74" s="41">
        <f t="shared" si="12"/>
        <v>0</v>
      </c>
      <c r="S74" s="4" t="str">
        <f t="shared" si="13"/>
        <v>Leistungswert eintragen</v>
      </c>
      <c r="U74" s="4">
        <f t="shared" si="14"/>
        <v>7</v>
      </c>
      <c r="V74" s="4">
        <f t="shared" si="15"/>
        <v>2.1</v>
      </c>
      <c r="W74" s="4">
        <f t="shared" si="16"/>
        <v>9.1</v>
      </c>
      <c r="X74" s="4" t="str">
        <f t="shared" si="17"/>
        <v/>
      </c>
    </row>
    <row r="75" spans="1:24" ht="15" customHeight="1" x14ac:dyDescent="0.2">
      <c r="A75" s="22">
        <v>54</v>
      </c>
      <c r="B75" s="91" t="s">
        <v>370</v>
      </c>
      <c r="C75" s="92" t="s">
        <v>355</v>
      </c>
      <c r="D75" s="92" t="s">
        <v>275</v>
      </c>
      <c r="E75" s="92" t="s">
        <v>363</v>
      </c>
      <c r="F75" s="92" t="s">
        <v>227</v>
      </c>
      <c r="G75" s="62">
        <v>28.52</v>
      </c>
      <c r="H75" s="62"/>
      <c r="I75" s="62"/>
      <c r="J75" s="22" t="s">
        <v>265</v>
      </c>
      <c r="K75" s="22" t="s">
        <v>144</v>
      </c>
      <c r="L75" s="41">
        <f>VLOOKUP(K75,Reinigungstage!A10:K31,11,FALSE)</f>
        <v>1</v>
      </c>
      <c r="M75" s="41">
        <f t="shared" si="9"/>
        <v>28.52</v>
      </c>
      <c r="N75" s="93"/>
      <c r="O75" s="41"/>
      <c r="P75" s="41">
        <f t="shared" si="10"/>
        <v>0</v>
      </c>
      <c r="Q75" s="41">
        <f t="shared" si="11"/>
        <v>0</v>
      </c>
      <c r="R75" s="41">
        <f t="shared" si="12"/>
        <v>0</v>
      </c>
      <c r="S75" s="4" t="str">
        <f t="shared" si="13"/>
        <v>Leistungswert eintragen</v>
      </c>
      <c r="U75" s="4">
        <f t="shared" si="14"/>
        <v>14</v>
      </c>
      <c r="V75" s="4">
        <f t="shared" si="15"/>
        <v>4.2</v>
      </c>
      <c r="W75" s="4">
        <f t="shared" si="16"/>
        <v>18.2</v>
      </c>
      <c r="X75" s="4" t="str">
        <f t="shared" si="17"/>
        <v/>
      </c>
    </row>
    <row r="76" spans="1:24" ht="15" customHeight="1" x14ac:dyDescent="0.2">
      <c r="A76" s="22">
        <v>55</v>
      </c>
      <c r="B76" s="91" t="s">
        <v>371</v>
      </c>
      <c r="C76" s="92" t="s">
        <v>355</v>
      </c>
      <c r="D76" s="92" t="s">
        <v>275</v>
      </c>
      <c r="E76" s="92" t="s">
        <v>322</v>
      </c>
      <c r="F76" s="92" t="s">
        <v>227</v>
      </c>
      <c r="G76" s="62">
        <v>61.93</v>
      </c>
      <c r="H76" s="62"/>
      <c r="I76" s="62"/>
      <c r="J76" s="22" t="s">
        <v>265</v>
      </c>
      <c r="K76" s="22" t="s">
        <v>144</v>
      </c>
      <c r="L76" s="41">
        <f>VLOOKUP(K76,Reinigungstage!A10:K31,11,FALSE)</f>
        <v>1</v>
      </c>
      <c r="M76" s="41">
        <f t="shared" si="9"/>
        <v>61.93</v>
      </c>
      <c r="N76" s="93"/>
      <c r="O76" s="41"/>
      <c r="P76" s="41">
        <f t="shared" si="10"/>
        <v>0</v>
      </c>
      <c r="Q76" s="41">
        <f t="shared" si="11"/>
        <v>0</v>
      </c>
      <c r="R76" s="41">
        <f t="shared" si="12"/>
        <v>0</v>
      </c>
      <c r="S76" s="4" t="str">
        <f t="shared" si="13"/>
        <v>Leistungswert eintragen</v>
      </c>
      <c r="U76" s="4">
        <f t="shared" si="14"/>
        <v>14</v>
      </c>
      <c r="V76" s="4">
        <f t="shared" si="15"/>
        <v>4.2</v>
      </c>
      <c r="W76" s="4">
        <f t="shared" si="16"/>
        <v>18.2</v>
      </c>
      <c r="X76" s="4" t="str">
        <f t="shared" si="17"/>
        <v/>
      </c>
    </row>
    <row r="77" spans="1:24" ht="15" customHeight="1" x14ac:dyDescent="0.2">
      <c r="A77" s="22">
        <v>56</v>
      </c>
      <c r="B77" s="91" t="s">
        <v>372</v>
      </c>
      <c r="C77" s="92" t="s">
        <v>355</v>
      </c>
      <c r="D77" s="92" t="s">
        <v>275</v>
      </c>
      <c r="E77" s="92" t="s">
        <v>322</v>
      </c>
      <c r="F77" s="92" t="s">
        <v>227</v>
      </c>
      <c r="G77" s="62">
        <v>63.42</v>
      </c>
      <c r="H77" s="62"/>
      <c r="I77" s="62"/>
      <c r="J77" s="22" t="s">
        <v>265</v>
      </c>
      <c r="K77" s="22" t="s">
        <v>144</v>
      </c>
      <c r="L77" s="41">
        <f>VLOOKUP(K77,Reinigungstage!A10:K31,11,FALSE)</f>
        <v>1</v>
      </c>
      <c r="M77" s="41">
        <f t="shared" si="9"/>
        <v>63.42</v>
      </c>
      <c r="N77" s="93"/>
      <c r="O77" s="41"/>
      <c r="P77" s="41">
        <f t="shared" si="10"/>
        <v>0</v>
      </c>
      <c r="Q77" s="41">
        <f t="shared" si="11"/>
        <v>0</v>
      </c>
      <c r="R77" s="41">
        <f t="shared" si="12"/>
        <v>0</v>
      </c>
      <c r="S77" s="4" t="str">
        <f t="shared" si="13"/>
        <v>Leistungswert eintragen</v>
      </c>
      <c r="U77" s="4">
        <f t="shared" si="14"/>
        <v>14</v>
      </c>
      <c r="V77" s="4">
        <f t="shared" si="15"/>
        <v>4.2</v>
      </c>
      <c r="W77" s="4">
        <f t="shared" si="16"/>
        <v>18.2</v>
      </c>
      <c r="X77" s="4" t="str">
        <f t="shared" si="17"/>
        <v/>
      </c>
    </row>
    <row r="78" spans="1:24" ht="15" customHeight="1" x14ac:dyDescent="0.2">
      <c r="A78" s="22">
        <v>57</v>
      </c>
      <c r="B78" s="91" t="s">
        <v>373</v>
      </c>
      <c r="C78" s="92" t="s">
        <v>355</v>
      </c>
      <c r="D78" s="92" t="s">
        <v>275</v>
      </c>
      <c r="E78" s="92" t="s">
        <v>374</v>
      </c>
      <c r="F78" s="92" t="s">
        <v>227</v>
      </c>
      <c r="G78" s="62">
        <v>12.65</v>
      </c>
      <c r="H78" s="62"/>
      <c r="I78" s="62"/>
      <c r="J78" s="22" t="s">
        <v>265</v>
      </c>
      <c r="K78" s="22" t="s">
        <v>144</v>
      </c>
      <c r="L78" s="41">
        <f>VLOOKUP(K78,Reinigungstage!A10:K31,11,FALSE)</f>
        <v>1</v>
      </c>
      <c r="M78" s="41">
        <f t="shared" si="9"/>
        <v>12.65</v>
      </c>
      <c r="N78" s="93"/>
      <c r="O78" s="41"/>
      <c r="P78" s="41">
        <f t="shared" si="10"/>
        <v>0</v>
      </c>
      <c r="Q78" s="41">
        <f t="shared" si="11"/>
        <v>0</v>
      </c>
      <c r="R78" s="41">
        <f t="shared" si="12"/>
        <v>0</v>
      </c>
      <c r="S78" s="4" t="str">
        <f t="shared" si="13"/>
        <v>Leistungswert eintragen</v>
      </c>
      <c r="U78" s="4">
        <f t="shared" si="14"/>
        <v>14</v>
      </c>
      <c r="V78" s="4">
        <f t="shared" si="15"/>
        <v>4.2</v>
      </c>
      <c r="W78" s="4">
        <f t="shared" si="16"/>
        <v>18.2</v>
      </c>
      <c r="X78" s="4" t="str">
        <f t="shared" si="17"/>
        <v/>
      </c>
    </row>
    <row r="79" spans="1:24" ht="15" customHeight="1" x14ac:dyDescent="0.2">
      <c r="A79" s="22">
        <v>58</v>
      </c>
      <c r="B79" s="91" t="s">
        <v>375</v>
      </c>
      <c r="C79" s="92" t="s">
        <v>355</v>
      </c>
      <c r="D79" s="92" t="s">
        <v>275</v>
      </c>
      <c r="E79" s="92" t="s">
        <v>322</v>
      </c>
      <c r="F79" s="92" t="s">
        <v>227</v>
      </c>
      <c r="G79" s="62">
        <v>50.05</v>
      </c>
      <c r="H79" s="62"/>
      <c r="I79" s="62"/>
      <c r="J79" s="22" t="s">
        <v>265</v>
      </c>
      <c r="K79" s="22" t="s">
        <v>144</v>
      </c>
      <c r="L79" s="41">
        <f>VLOOKUP(K79,Reinigungstage!A10:K31,11,FALSE)</f>
        <v>1</v>
      </c>
      <c r="M79" s="41">
        <f t="shared" si="9"/>
        <v>50.05</v>
      </c>
      <c r="N79" s="93"/>
      <c r="O79" s="41"/>
      <c r="P79" s="41">
        <f t="shared" si="10"/>
        <v>0</v>
      </c>
      <c r="Q79" s="41">
        <f t="shared" si="11"/>
        <v>0</v>
      </c>
      <c r="R79" s="41">
        <f t="shared" si="12"/>
        <v>0</v>
      </c>
      <c r="S79" s="4" t="str">
        <f t="shared" si="13"/>
        <v>Leistungswert eintragen</v>
      </c>
      <c r="U79" s="4">
        <f t="shared" si="14"/>
        <v>14</v>
      </c>
      <c r="V79" s="4">
        <f t="shared" si="15"/>
        <v>4.2</v>
      </c>
      <c r="W79" s="4">
        <f t="shared" si="16"/>
        <v>18.2</v>
      </c>
      <c r="X79" s="4" t="str">
        <f t="shared" si="17"/>
        <v/>
      </c>
    </row>
    <row r="80" spans="1:24" ht="15" customHeight="1" x14ac:dyDescent="0.2">
      <c r="A80" s="22">
        <v>59</v>
      </c>
      <c r="B80" s="91" t="s">
        <v>376</v>
      </c>
      <c r="C80" s="92" t="s">
        <v>355</v>
      </c>
      <c r="D80" s="92" t="s">
        <v>275</v>
      </c>
      <c r="E80" s="92" t="s">
        <v>374</v>
      </c>
      <c r="F80" s="92" t="s">
        <v>227</v>
      </c>
      <c r="G80" s="62">
        <v>19.46</v>
      </c>
      <c r="H80" s="62"/>
      <c r="I80" s="62"/>
      <c r="J80" s="22" t="s">
        <v>265</v>
      </c>
      <c r="K80" s="22" t="s">
        <v>144</v>
      </c>
      <c r="L80" s="41">
        <f>VLOOKUP(K80,Reinigungstage!A10:K31,11,FALSE)</f>
        <v>1</v>
      </c>
      <c r="M80" s="41">
        <f t="shared" si="9"/>
        <v>19.46</v>
      </c>
      <c r="N80" s="93"/>
      <c r="O80" s="41"/>
      <c r="P80" s="41">
        <f t="shared" si="10"/>
        <v>0</v>
      </c>
      <c r="Q80" s="41">
        <f t="shared" si="11"/>
        <v>0</v>
      </c>
      <c r="R80" s="41">
        <f t="shared" si="12"/>
        <v>0</v>
      </c>
      <c r="S80" s="4" t="str">
        <f t="shared" si="13"/>
        <v>Leistungswert eintragen</v>
      </c>
      <c r="U80" s="4">
        <f t="shared" si="14"/>
        <v>14</v>
      </c>
      <c r="V80" s="4">
        <f t="shared" si="15"/>
        <v>4.2</v>
      </c>
      <c r="W80" s="4">
        <f t="shared" si="16"/>
        <v>18.2</v>
      </c>
      <c r="X80" s="4" t="str">
        <f t="shared" si="17"/>
        <v/>
      </c>
    </row>
    <row r="81" spans="1:24" ht="15" customHeight="1" x14ac:dyDescent="0.2">
      <c r="A81" s="22">
        <v>60</v>
      </c>
      <c r="B81" s="91" t="s">
        <v>377</v>
      </c>
      <c r="C81" s="92" t="s">
        <v>355</v>
      </c>
      <c r="D81" s="92" t="s">
        <v>275</v>
      </c>
      <c r="E81" s="92" t="s">
        <v>322</v>
      </c>
      <c r="F81" s="92" t="s">
        <v>227</v>
      </c>
      <c r="G81" s="62">
        <v>50.05</v>
      </c>
      <c r="H81" s="62"/>
      <c r="I81" s="62"/>
      <c r="J81" s="22" t="s">
        <v>265</v>
      </c>
      <c r="K81" s="22" t="s">
        <v>144</v>
      </c>
      <c r="L81" s="41">
        <f>VLOOKUP(K81,Reinigungstage!A10:K31,11,FALSE)</f>
        <v>1</v>
      </c>
      <c r="M81" s="41">
        <f t="shared" si="9"/>
        <v>50.05</v>
      </c>
      <c r="N81" s="93"/>
      <c r="O81" s="41"/>
      <c r="P81" s="41">
        <f t="shared" si="10"/>
        <v>0</v>
      </c>
      <c r="Q81" s="41">
        <f t="shared" si="11"/>
        <v>0</v>
      </c>
      <c r="R81" s="41">
        <f t="shared" si="12"/>
        <v>0</v>
      </c>
      <c r="S81" s="4" t="str">
        <f t="shared" si="13"/>
        <v>Leistungswert eintragen</v>
      </c>
      <c r="U81" s="4">
        <f t="shared" si="14"/>
        <v>14</v>
      </c>
      <c r="V81" s="4">
        <f t="shared" si="15"/>
        <v>4.2</v>
      </c>
      <c r="W81" s="4">
        <f t="shared" si="16"/>
        <v>18.2</v>
      </c>
      <c r="X81" s="4" t="str">
        <f t="shared" si="17"/>
        <v/>
      </c>
    </row>
    <row r="82" spans="1:24" ht="15" customHeight="1" x14ac:dyDescent="0.2">
      <c r="A82" s="22">
        <v>61</v>
      </c>
      <c r="B82" s="91" t="s">
        <v>378</v>
      </c>
      <c r="C82" s="92" t="s">
        <v>355</v>
      </c>
      <c r="D82" s="92" t="s">
        <v>275</v>
      </c>
      <c r="E82" s="92" t="s">
        <v>314</v>
      </c>
      <c r="F82" s="92" t="s">
        <v>227</v>
      </c>
      <c r="G82" s="62">
        <v>168.42</v>
      </c>
      <c r="H82" s="62"/>
      <c r="I82" s="62"/>
      <c r="J82" s="22" t="s">
        <v>264</v>
      </c>
      <c r="K82" s="22" t="s">
        <v>144</v>
      </c>
      <c r="L82" s="41">
        <f>VLOOKUP(K82,Reinigungstage!A10:K31,11,FALSE)</f>
        <v>1</v>
      </c>
      <c r="M82" s="41">
        <f t="shared" si="9"/>
        <v>168.42</v>
      </c>
      <c r="N82" s="93"/>
      <c r="O82" s="41"/>
      <c r="P82" s="41">
        <f t="shared" si="10"/>
        <v>0</v>
      </c>
      <c r="Q82" s="41">
        <f t="shared" si="11"/>
        <v>0</v>
      </c>
      <c r="R82" s="41">
        <f t="shared" si="12"/>
        <v>0</v>
      </c>
      <c r="S82" s="4" t="str">
        <f t="shared" si="13"/>
        <v>Leistungswert eintragen</v>
      </c>
      <c r="U82" s="4">
        <f t="shared" si="14"/>
        <v>24</v>
      </c>
      <c r="V82" s="4">
        <f t="shared" si="15"/>
        <v>7.1999999999999993</v>
      </c>
      <c r="W82" s="4">
        <f t="shared" si="16"/>
        <v>31.2</v>
      </c>
      <c r="X82" s="4" t="str">
        <f t="shared" si="17"/>
        <v/>
      </c>
    </row>
    <row r="83" spans="1:24" ht="15" customHeight="1" x14ac:dyDescent="0.2">
      <c r="A83" s="22">
        <v>62</v>
      </c>
      <c r="B83" s="91" t="s">
        <v>379</v>
      </c>
      <c r="C83" s="92" t="s">
        <v>355</v>
      </c>
      <c r="D83" s="92" t="s">
        <v>275</v>
      </c>
      <c r="E83" s="92" t="s">
        <v>226</v>
      </c>
      <c r="F83" s="92" t="s">
        <v>287</v>
      </c>
      <c r="G83" s="62">
        <v>57.8</v>
      </c>
      <c r="H83" s="62"/>
      <c r="I83" s="62"/>
      <c r="J83" s="22" t="s">
        <v>264</v>
      </c>
      <c r="K83" s="22" t="s">
        <v>144</v>
      </c>
      <c r="L83" s="41">
        <f>VLOOKUP(K83,Reinigungstage!A10:K31,11,FALSE)</f>
        <v>1</v>
      </c>
      <c r="M83" s="41">
        <f t="shared" si="9"/>
        <v>57.8</v>
      </c>
      <c r="N83" s="93"/>
      <c r="O83" s="41"/>
      <c r="P83" s="41">
        <f t="shared" si="10"/>
        <v>0</v>
      </c>
      <c r="Q83" s="41">
        <f t="shared" si="11"/>
        <v>0</v>
      </c>
      <c r="R83" s="41">
        <f t="shared" si="12"/>
        <v>0</v>
      </c>
      <c r="S83" s="4" t="str">
        <f t="shared" si="13"/>
        <v>Leistungswert eintragen</v>
      </c>
      <c r="U83" s="4">
        <f t="shared" si="14"/>
        <v>24</v>
      </c>
      <c r="V83" s="4">
        <f t="shared" si="15"/>
        <v>7.1999999999999993</v>
      </c>
      <c r="W83" s="4">
        <f t="shared" si="16"/>
        <v>31.2</v>
      </c>
      <c r="X83" s="4" t="str">
        <f t="shared" si="17"/>
        <v/>
      </c>
    </row>
    <row r="84" spans="1:24" ht="15" customHeight="1" x14ac:dyDescent="0.2">
      <c r="A84" s="22">
        <v>63</v>
      </c>
      <c r="B84" s="91" t="s">
        <v>381</v>
      </c>
      <c r="C84" s="92" t="s">
        <v>355</v>
      </c>
      <c r="D84" s="92" t="s">
        <v>275</v>
      </c>
      <c r="E84" s="92" t="s">
        <v>235</v>
      </c>
      <c r="F84" s="92" t="s">
        <v>287</v>
      </c>
      <c r="G84" s="62">
        <v>20.28</v>
      </c>
      <c r="H84" s="62"/>
      <c r="I84" s="62"/>
      <c r="J84" s="22" t="s">
        <v>267</v>
      </c>
      <c r="K84" s="22" t="s">
        <v>144</v>
      </c>
      <c r="L84" s="41">
        <f>VLOOKUP(K84,Reinigungstage!A10:K31,11,FALSE)</f>
        <v>1</v>
      </c>
      <c r="M84" s="41">
        <f t="shared" ref="M84:M113" si="18">ROUND(IF(L84=0,0,L84*G84),2)</f>
        <v>20.28</v>
      </c>
      <c r="N84" s="93"/>
      <c r="O84" s="41"/>
      <c r="P84" s="41">
        <f t="shared" ref="P84:P113" si="19">ROUND(IF(N84=0,0,M84/N84),2)</f>
        <v>0</v>
      </c>
      <c r="Q84" s="41">
        <f t="shared" ref="Q84:Q113" si="20">ROUND(IF(P84=0,0,P84*O84),2)</f>
        <v>0</v>
      </c>
      <c r="R84" s="41">
        <f t="shared" ref="R84:R113" si="21">ROUND(IF(P84=0,0,Q84/L84),2)</f>
        <v>0</v>
      </c>
      <c r="S84" s="4" t="str">
        <f t="shared" ref="S84:S113" si="22">IF(M84=0,"",IF(N84=0,"Leistungswert eintragen",IF(O84=0,"SVS prüfen","")))</f>
        <v>Leistungswert eintragen</v>
      </c>
      <c r="U84" s="4">
        <f t="shared" ref="U84:U113" si="23">VLOOKUP(J84,$U$4:$V$12,2,FALSE)</f>
        <v>7</v>
      </c>
      <c r="V84" s="4">
        <f t="shared" ref="V84:V113" si="24">U84*30%</f>
        <v>2.1</v>
      </c>
      <c r="W84" s="4">
        <f t="shared" ref="W84:W113" si="25">SUM(U84:V84)</f>
        <v>9.1</v>
      </c>
      <c r="X84" s="4" t="str">
        <f t="shared" ref="X84:X113" si="26">IF(N84=0,"",IF(W84&lt;N84,1,IF(W84&gt;=N84,0,"")))</f>
        <v/>
      </c>
    </row>
    <row r="85" spans="1:24" ht="15" customHeight="1" x14ac:dyDescent="0.2">
      <c r="A85" s="22">
        <v>64</v>
      </c>
      <c r="B85" s="91" t="s">
        <v>382</v>
      </c>
      <c r="C85" s="92" t="s">
        <v>355</v>
      </c>
      <c r="D85" s="92" t="s">
        <v>275</v>
      </c>
      <c r="E85" s="92" t="s">
        <v>369</v>
      </c>
      <c r="F85" s="92" t="s">
        <v>287</v>
      </c>
      <c r="G85" s="62">
        <v>14.55</v>
      </c>
      <c r="H85" s="62"/>
      <c r="I85" s="62"/>
      <c r="J85" s="22" t="s">
        <v>267</v>
      </c>
      <c r="K85" s="22" t="s">
        <v>144</v>
      </c>
      <c r="L85" s="41">
        <f>VLOOKUP(K85,Reinigungstage!A10:K31,11,FALSE)</f>
        <v>1</v>
      </c>
      <c r="M85" s="41">
        <f t="shared" si="18"/>
        <v>14.55</v>
      </c>
      <c r="N85" s="93"/>
      <c r="O85" s="41"/>
      <c r="P85" s="41">
        <f t="shared" si="19"/>
        <v>0</v>
      </c>
      <c r="Q85" s="41">
        <f t="shared" si="20"/>
        <v>0</v>
      </c>
      <c r="R85" s="41">
        <f t="shared" si="21"/>
        <v>0</v>
      </c>
      <c r="S85" s="4" t="str">
        <f t="shared" si="22"/>
        <v>Leistungswert eintragen</v>
      </c>
      <c r="U85" s="4">
        <f t="shared" si="23"/>
        <v>7</v>
      </c>
      <c r="V85" s="4">
        <f t="shared" si="24"/>
        <v>2.1</v>
      </c>
      <c r="W85" s="4">
        <f t="shared" si="25"/>
        <v>9.1</v>
      </c>
      <c r="X85" s="4" t="str">
        <f t="shared" si="26"/>
        <v/>
      </c>
    </row>
    <row r="86" spans="1:24" ht="15" customHeight="1" x14ac:dyDescent="0.2">
      <c r="A86" s="22">
        <v>65</v>
      </c>
      <c r="B86" s="91" t="s">
        <v>383</v>
      </c>
      <c r="C86" s="92" t="s">
        <v>355</v>
      </c>
      <c r="D86" s="92" t="s">
        <v>275</v>
      </c>
      <c r="E86" s="92" t="s">
        <v>384</v>
      </c>
      <c r="F86" s="92" t="s">
        <v>287</v>
      </c>
      <c r="G86" s="62">
        <v>16.86</v>
      </c>
      <c r="H86" s="62"/>
      <c r="I86" s="62"/>
      <c r="J86" s="22" t="s">
        <v>267</v>
      </c>
      <c r="K86" s="22" t="s">
        <v>144</v>
      </c>
      <c r="L86" s="41">
        <f>VLOOKUP(K86,Reinigungstage!A10:K31,11,FALSE)</f>
        <v>1</v>
      </c>
      <c r="M86" s="41">
        <f t="shared" si="18"/>
        <v>16.86</v>
      </c>
      <c r="N86" s="93"/>
      <c r="O86" s="41"/>
      <c r="P86" s="41">
        <f t="shared" si="19"/>
        <v>0</v>
      </c>
      <c r="Q86" s="41">
        <f t="shared" si="20"/>
        <v>0</v>
      </c>
      <c r="R86" s="41">
        <f t="shared" si="21"/>
        <v>0</v>
      </c>
      <c r="S86" s="4" t="str">
        <f t="shared" si="22"/>
        <v>Leistungswert eintragen</v>
      </c>
      <c r="U86" s="4">
        <f t="shared" si="23"/>
        <v>7</v>
      </c>
      <c r="V86" s="4">
        <f t="shared" si="24"/>
        <v>2.1</v>
      </c>
      <c r="W86" s="4">
        <f t="shared" si="25"/>
        <v>9.1</v>
      </c>
      <c r="X86" s="4" t="str">
        <f t="shared" si="26"/>
        <v/>
      </c>
    </row>
    <row r="87" spans="1:24" ht="15" customHeight="1" x14ac:dyDescent="0.2">
      <c r="A87" s="22">
        <v>66</v>
      </c>
      <c r="B87" s="91" t="s">
        <v>385</v>
      </c>
      <c r="C87" s="92" t="s">
        <v>355</v>
      </c>
      <c r="D87" s="92" t="s">
        <v>275</v>
      </c>
      <c r="E87" s="92" t="s">
        <v>239</v>
      </c>
      <c r="F87" s="92" t="s">
        <v>287</v>
      </c>
      <c r="G87" s="62">
        <v>11.7</v>
      </c>
      <c r="H87" s="62"/>
      <c r="I87" s="62"/>
      <c r="J87" s="22" t="s">
        <v>267</v>
      </c>
      <c r="K87" s="22" t="s">
        <v>144</v>
      </c>
      <c r="L87" s="41">
        <f>VLOOKUP(K87,Reinigungstage!A10:K31,11,FALSE)</f>
        <v>1</v>
      </c>
      <c r="M87" s="41">
        <f t="shared" si="18"/>
        <v>11.7</v>
      </c>
      <c r="N87" s="93"/>
      <c r="O87" s="41"/>
      <c r="P87" s="41">
        <f t="shared" si="19"/>
        <v>0</v>
      </c>
      <c r="Q87" s="41">
        <f t="shared" si="20"/>
        <v>0</v>
      </c>
      <c r="R87" s="41">
        <f t="shared" si="21"/>
        <v>0</v>
      </c>
      <c r="S87" s="4" t="str">
        <f t="shared" si="22"/>
        <v>Leistungswert eintragen</v>
      </c>
      <c r="U87" s="4">
        <f t="shared" si="23"/>
        <v>7</v>
      </c>
      <c r="V87" s="4">
        <f t="shared" si="24"/>
        <v>2.1</v>
      </c>
      <c r="W87" s="4">
        <f t="shared" si="25"/>
        <v>9.1</v>
      </c>
      <c r="X87" s="4" t="str">
        <f t="shared" si="26"/>
        <v/>
      </c>
    </row>
    <row r="88" spans="1:24" ht="15" customHeight="1" x14ac:dyDescent="0.2">
      <c r="A88" s="22">
        <v>67</v>
      </c>
      <c r="B88" s="91" t="s">
        <v>386</v>
      </c>
      <c r="C88" s="92" t="s">
        <v>355</v>
      </c>
      <c r="D88" s="92" t="s">
        <v>275</v>
      </c>
      <c r="E88" s="92" t="s">
        <v>322</v>
      </c>
      <c r="F88" s="92" t="s">
        <v>227</v>
      </c>
      <c r="G88" s="62">
        <v>50.05</v>
      </c>
      <c r="H88" s="62"/>
      <c r="I88" s="62"/>
      <c r="J88" s="22" t="s">
        <v>265</v>
      </c>
      <c r="K88" s="22" t="s">
        <v>144</v>
      </c>
      <c r="L88" s="41">
        <f>VLOOKUP(K88,Reinigungstage!A10:K31,11,FALSE)</f>
        <v>1</v>
      </c>
      <c r="M88" s="41">
        <f t="shared" si="18"/>
        <v>50.05</v>
      </c>
      <c r="N88" s="93"/>
      <c r="O88" s="41"/>
      <c r="P88" s="41">
        <f t="shared" si="19"/>
        <v>0</v>
      </c>
      <c r="Q88" s="41">
        <f t="shared" si="20"/>
        <v>0</v>
      </c>
      <c r="R88" s="41">
        <f t="shared" si="21"/>
        <v>0</v>
      </c>
      <c r="S88" s="4" t="str">
        <f t="shared" si="22"/>
        <v>Leistungswert eintragen</v>
      </c>
      <c r="U88" s="4">
        <f t="shared" si="23"/>
        <v>14</v>
      </c>
      <c r="V88" s="4">
        <f t="shared" si="24"/>
        <v>4.2</v>
      </c>
      <c r="W88" s="4">
        <f t="shared" si="25"/>
        <v>18.2</v>
      </c>
      <c r="X88" s="4" t="str">
        <f t="shared" si="26"/>
        <v/>
      </c>
    </row>
    <row r="89" spans="1:24" ht="15" customHeight="1" x14ac:dyDescent="0.2">
      <c r="A89" s="22">
        <v>68</v>
      </c>
      <c r="B89" s="91" t="s">
        <v>387</v>
      </c>
      <c r="C89" s="92" t="s">
        <v>355</v>
      </c>
      <c r="D89" s="92" t="s">
        <v>275</v>
      </c>
      <c r="E89" s="92" t="s">
        <v>322</v>
      </c>
      <c r="F89" s="92" t="s">
        <v>227</v>
      </c>
      <c r="G89" s="62">
        <v>50.05</v>
      </c>
      <c r="H89" s="62"/>
      <c r="I89" s="62"/>
      <c r="J89" s="22" t="s">
        <v>265</v>
      </c>
      <c r="K89" s="22" t="s">
        <v>144</v>
      </c>
      <c r="L89" s="41">
        <f>VLOOKUP(K89,Reinigungstage!A10:K31,11,FALSE)</f>
        <v>1</v>
      </c>
      <c r="M89" s="41">
        <f t="shared" si="18"/>
        <v>50.05</v>
      </c>
      <c r="N89" s="93"/>
      <c r="O89" s="41"/>
      <c r="P89" s="41">
        <f t="shared" si="19"/>
        <v>0</v>
      </c>
      <c r="Q89" s="41">
        <f t="shared" si="20"/>
        <v>0</v>
      </c>
      <c r="R89" s="41">
        <f t="shared" si="21"/>
        <v>0</v>
      </c>
      <c r="S89" s="4" t="str">
        <f t="shared" si="22"/>
        <v>Leistungswert eintragen</v>
      </c>
      <c r="U89" s="4">
        <f t="shared" si="23"/>
        <v>14</v>
      </c>
      <c r="V89" s="4">
        <f t="shared" si="24"/>
        <v>4.2</v>
      </c>
      <c r="W89" s="4">
        <f t="shared" si="25"/>
        <v>18.2</v>
      </c>
      <c r="X89" s="4" t="str">
        <f t="shared" si="26"/>
        <v/>
      </c>
    </row>
    <row r="90" spans="1:24" ht="15" customHeight="1" x14ac:dyDescent="0.2">
      <c r="A90" s="22">
        <v>69</v>
      </c>
      <c r="B90" s="91" t="s">
        <v>388</v>
      </c>
      <c r="C90" s="92" t="s">
        <v>355</v>
      </c>
      <c r="D90" s="92" t="s">
        <v>275</v>
      </c>
      <c r="E90" s="92" t="s">
        <v>389</v>
      </c>
      <c r="F90" s="92" t="s">
        <v>227</v>
      </c>
      <c r="G90" s="62">
        <v>19.46</v>
      </c>
      <c r="H90" s="62"/>
      <c r="I90" s="62"/>
      <c r="J90" s="22" t="s">
        <v>273</v>
      </c>
      <c r="K90" s="22" t="s">
        <v>144</v>
      </c>
      <c r="L90" s="41">
        <f>VLOOKUP(K90,Reinigungstage!A10:K31,11,FALSE)</f>
        <v>1</v>
      </c>
      <c r="M90" s="41">
        <f t="shared" si="18"/>
        <v>19.46</v>
      </c>
      <c r="N90" s="93"/>
      <c r="O90" s="41"/>
      <c r="P90" s="41">
        <f t="shared" si="19"/>
        <v>0</v>
      </c>
      <c r="Q90" s="41">
        <f t="shared" si="20"/>
        <v>0</v>
      </c>
      <c r="R90" s="41">
        <f t="shared" si="21"/>
        <v>0</v>
      </c>
      <c r="S90" s="4" t="str">
        <f t="shared" si="22"/>
        <v>Leistungswert eintragen</v>
      </c>
      <c r="U90" s="4">
        <f t="shared" si="23"/>
        <v>13</v>
      </c>
      <c r="V90" s="4">
        <f t="shared" si="24"/>
        <v>3.9</v>
      </c>
      <c r="W90" s="4">
        <f t="shared" si="25"/>
        <v>16.899999999999999</v>
      </c>
      <c r="X90" s="4" t="str">
        <f t="shared" si="26"/>
        <v/>
      </c>
    </row>
    <row r="91" spans="1:24" ht="15" customHeight="1" x14ac:dyDescent="0.2">
      <c r="A91" s="22">
        <v>70</v>
      </c>
      <c r="B91" s="91" t="s">
        <v>390</v>
      </c>
      <c r="C91" s="92" t="s">
        <v>355</v>
      </c>
      <c r="D91" s="92" t="s">
        <v>275</v>
      </c>
      <c r="E91" s="92" t="s">
        <v>322</v>
      </c>
      <c r="F91" s="92" t="s">
        <v>227</v>
      </c>
      <c r="G91" s="62">
        <v>50.05</v>
      </c>
      <c r="H91" s="62"/>
      <c r="I91" s="62"/>
      <c r="J91" s="22" t="s">
        <v>265</v>
      </c>
      <c r="K91" s="22" t="s">
        <v>144</v>
      </c>
      <c r="L91" s="41">
        <f>VLOOKUP(K91,Reinigungstage!A10:K31,11,FALSE)</f>
        <v>1</v>
      </c>
      <c r="M91" s="41">
        <f t="shared" si="18"/>
        <v>50.05</v>
      </c>
      <c r="N91" s="93"/>
      <c r="O91" s="41"/>
      <c r="P91" s="41">
        <f t="shared" si="19"/>
        <v>0</v>
      </c>
      <c r="Q91" s="41">
        <f t="shared" si="20"/>
        <v>0</v>
      </c>
      <c r="R91" s="41">
        <f t="shared" si="21"/>
        <v>0</v>
      </c>
      <c r="S91" s="4" t="str">
        <f t="shared" si="22"/>
        <v>Leistungswert eintragen</v>
      </c>
      <c r="U91" s="4">
        <f t="shared" si="23"/>
        <v>14</v>
      </c>
      <c r="V91" s="4">
        <f t="shared" si="24"/>
        <v>4.2</v>
      </c>
      <c r="W91" s="4">
        <f t="shared" si="25"/>
        <v>18.2</v>
      </c>
      <c r="X91" s="4" t="str">
        <f t="shared" si="26"/>
        <v/>
      </c>
    </row>
    <row r="92" spans="1:24" ht="15" customHeight="1" x14ac:dyDescent="0.2">
      <c r="A92" s="22">
        <v>71</v>
      </c>
      <c r="B92" s="91" t="s">
        <v>391</v>
      </c>
      <c r="C92" s="92" t="s">
        <v>355</v>
      </c>
      <c r="D92" s="92" t="s">
        <v>275</v>
      </c>
      <c r="E92" s="92" t="s">
        <v>314</v>
      </c>
      <c r="F92" s="92" t="s">
        <v>287</v>
      </c>
      <c r="G92" s="62">
        <v>152.12</v>
      </c>
      <c r="H92" s="62"/>
      <c r="I92" s="62"/>
      <c r="J92" s="22" t="s">
        <v>264</v>
      </c>
      <c r="K92" s="22" t="s">
        <v>144</v>
      </c>
      <c r="L92" s="41">
        <f>VLOOKUP(K92,Reinigungstage!A10:K31,11,FALSE)</f>
        <v>1</v>
      </c>
      <c r="M92" s="41">
        <f t="shared" si="18"/>
        <v>152.12</v>
      </c>
      <c r="N92" s="93"/>
      <c r="O92" s="41"/>
      <c r="P92" s="41">
        <f t="shared" si="19"/>
        <v>0</v>
      </c>
      <c r="Q92" s="41">
        <f t="shared" si="20"/>
        <v>0</v>
      </c>
      <c r="R92" s="41">
        <f t="shared" si="21"/>
        <v>0</v>
      </c>
      <c r="S92" s="4" t="str">
        <f t="shared" si="22"/>
        <v>Leistungswert eintragen</v>
      </c>
      <c r="U92" s="4">
        <f t="shared" si="23"/>
        <v>24</v>
      </c>
      <c r="V92" s="4">
        <f t="shared" si="24"/>
        <v>7.1999999999999993</v>
      </c>
      <c r="W92" s="4">
        <f t="shared" si="25"/>
        <v>31.2</v>
      </c>
      <c r="X92" s="4" t="str">
        <f t="shared" si="26"/>
        <v/>
      </c>
    </row>
    <row r="93" spans="1:24" ht="15" customHeight="1" x14ac:dyDescent="0.2">
      <c r="A93" s="22">
        <v>72</v>
      </c>
      <c r="B93" s="91" t="s">
        <v>392</v>
      </c>
      <c r="C93" s="92" t="s">
        <v>355</v>
      </c>
      <c r="D93" s="92" t="s">
        <v>275</v>
      </c>
      <c r="E93" s="92" t="s">
        <v>328</v>
      </c>
      <c r="F93" s="92" t="s">
        <v>287</v>
      </c>
      <c r="G93" s="62">
        <v>30.72</v>
      </c>
      <c r="H93" s="62"/>
      <c r="I93" s="62"/>
      <c r="J93" s="22" t="s">
        <v>264</v>
      </c>
      <c r="K93" s="22" t="s">
        <v>144</v>
      </c>
      <c r="L93" s="41">
        <f>VLOOKUP(K93,Reinigungstage!A10:K31,11,FALSE)</f>
        <v>1</v>
      </c>
      <c r="M93" s="41">
        <f t="shared" si="18"/>
        <v>30.72</v>
      </c>
      <c r="N93" s="93"/>
      <c r="O93" s="41"/>
      <c r="P93" s="41">
        <f t="shared" si="19"/>
        <v>0</v>
      </c>
      <c r="Q93" s="41">
        <f t="shared" si="20"/>
        <v>0</v>
      </c>
      <c r="R93" s="41">
        <f t="shared" si="21"/>
        <v>0</v>
      </c>
      <c r="S93" s="4" t="str">
        <f t="shared" si="22"/>
        <v>Leistungswert eintragen</v>
      </c>
      <c r="U93" s="4">
        <f t="shared" si="23"/>
        <v>24</v>
      </c>
      <c r="V93" s="4">
        <f t="shared" si="24"/>
        <v>7.1999999999999993</v>
      </c>
      <c r="W93" s="4">
        <f t="shared" si="25"/>
        <v>31.2</v>
      </c>
      <c r="X93" s="4" t="str">
        <f t="shared" si="26"/>
        <v/>
      </c>
    </row>
    <row r="94" spans="1:24" ht="24.95" customHeight="1" x14ac:dyDescent="0.2">
      <c r="A94" s="22">
        <v>73</v>
      </c>
      <c r="B94" s="91" t="s">
        <v>393</v>
      </c>
      <c r="C94" s="92" t="s">
        <v>355</v>
      </c>
      <c r="D94" s="92" t="s">
        <v>275</v>
      </c>
      <c r="E94" s="92" t="s">
        <v>330</v>
      </c>
      <c r="F94" s="92" t="s">
        <v>227</v>
      </c>
      <c r="G94" s="62">
        <v>52.11</v>
      </c>
      <c r="H94" s="62"/>
      <c r="I94" s="62"/>
      <c r="J94" s="22" t="s">
        <v>265</v>
      </c>
      <c r="K94" s="22" t="s">
        <v>144</v>
      </c>
      <c r="L94" s="41">
        <f>VLOOKUP(K94,Reinigungstage!A10:K31,11,FALSE)</f>
        <v>1</v>
      </c>
      <c r="M94" s="41">
        <f t="shared" si="18"/>
        <v>52.11</v>
      </c>
      <c r="N94" s="93"/>
      <c r="O94" s="41"/>
      <c r="P94" s="41">
        <f t="shared" si="19"/>
        <v>0</v>
      </c>
      <c r="Q94" s="41">
        <f t="shared" si="20"/>
        <v>0</v>
      </c>
      <c r="R94" s="41">
        <f t="shared" si="21"/>
        <v>0</v>
      </c>
      <c r="S94" s="4" t="str">
        <f t="shared" si="22"/>
        <v>Leistungswert eintragen</v>
      </c>
      <c r="U94" s="4">
        <f t="shared" si="23"/>
        <v>14</v>
      </c>
      <c r="V94" s="4">
        <f t="shared" si="24"/>
        <v>4.2</v>
      </c>
      <c r="W94" s="4">
        <f t="shared" si="25"/>
        <v>18.2</v>
      </c>
      <c r="X94" s="4" t="str">
        <f t="shared" si="26"/>
        <v/>
      </c>
    </row>
    <row r="95" spans="1:24" ht="24.95" customHeight="1" x14ac:dyDescent="0.2">
      <c r="A95" s="22">
        <v>74</v>
      </c>
      <c r="B95" s="91" t="s">
        <v>394</v>
      </c>
      <c r="C95" s="92" t="s">
        <v>355</v>
      </c>
      <c r="D95" s="92" t="s">
        <v>275</v>
      </c>
      <c r="E95" s="92" t="s">
        <v>330</v>
      </c>
      <c r="F95" s="92" t="s">
        <v>227</v>
      </c>
      <c r="G95" s="62">
        <v>54.31</v>
      </c>
      <c r="H95" s="62"/>
      <c r="I95" s="62"/>
      <c r="J95" s="22" t="s">
        <v>265</v>
      </c>
      <c r="K95" s="22" t="s">
        <v>144</v>
      </c>
      <c r="L95" s="41">
        <f>VLOOKUP(K95,Reinigungstage!A10:K31,11,FALSE)</f>
        <v>1</v>
      </c>
      <c r="M95" s="41">
        <f t="shared" si="18"/>
        <v>54.31</v>
      </c>
      <c r="N95" s="93"/>
      <c r="O95" s="41"/>
      <c r="P95" s="41">
        <f t="shared" si="19"/>
        <v>0</v>
      </c>
      <c r="Q95" s="41">
        <f t="shared" si="20"/>
        <v>0</v>
      </c>
      <c r="R95" s="41">
        <f t="shared" si="21"/>
        <v>0</v>
      </c>
      <c r="S95" s="4" t="str">
        <f t="shared" si="22"/>
        <v>Leistungswert eintragen</v>
      </c>
      <c r="U95" s="4">
        <f t="shared" si="23"/>
        <v>14</v>
      </c>
      <c r="V95" s="4">
        <f t="shared" si="24"/>
        <v>4.2</v>
      </c>
      <c r="W95" s="4">
        <f t="shared" si="25"/>
        <v>18.2</v>
      </c>
      <c r="X95" s="4" t="str">
        <f t="shared" si="26"/>
        <v/>
      </c>
    </row>
    <row r="96" spans="1:24" ht="24.95" customHeight="1" x14ac:dyDescent="0.2">
      <c r="A96" s="22">
        <v>75</v>
      </c>
      <c r="B96" s="91" t="s">
        <v>395</v>
      </c>
      <c r="C96" s="92" t="s">
        <v>355</v>
      </c>
      <c r="D96" s="92" t="s">
        <v>275</v>
      </c>
      <c r="E96" s="92" t="s">
        <v>330</v>
      </c>
      <c r="F96" s="92" t="s">
        <v>227</v>
      </c>
      <c r="G96" s="62">
        <v>54.85</v>
      </c>
      <c r="H96" s="62"/>
      <c r="I96" s="62"/>
      <c r="J96" s="22" t="s">
        <v>265</v>
      </c>
      <c r="K96" s="22" t="s">
        <v>144</v>
      </c>
      <c r="L96" s="41">
        <f>VLOOKUP(K96,Reinigungstage!A10:K31,11,FALSE)</f>
        <v>1</v>
      </c>
      <c r="M96" s="41">
        <f t="shared" si="18"/>
        <v>54.85</v>
      </c>
      <c r="N96" s="93"/>
      <c r="O96" s="41"/>
      <c r="P96" s="41">
        <f t="shared" si="19"/>
        <v>0</v>
      </c>
      <c r="Q96" s="41">
        <f t="shared" si="20"/>
        <v>0</v>
      </c>
      <c r="R96" s="41">
        <f t="shared" si="21"/>
        <v>0</v>
      </c>
      <c r="S96" s="4" t="str">
        <f t="shared" si="22"/>
        <v>Leistungswert eintragen</v>
      </c>
      <c r="U96" s="4">
        <f t="shared" si="23"/>
        <v>14</v>
      </c>
      <c r="V96" s="4">
        <f t="shared" si="24"/>
        <v>4.2</v>
      </c>
      <c r="W96" s="4">
        <f t="shared" si="25"/>
        <v>18.2</v>
      </c>
      <c r="X96" s="4" t="str">
        <f t="shared" si="26"/>
        <v/>
      </c>
    </row>
    <row r="97" spans="1:24" ht="24.95" customHeight="1" x14ac:dyDescent="0.2">
      <c r="A97" s="22">
        <v>76</v>
      </c>
      <c r="B97" s="91" t="s">
        <v>396</v>
      </c>
      <c r="C97" s="92" t="s">
        <v>355</v>
      </c>
      <c r="D97" s="92" t="s">
        <v>275</v>
      </c>
      <c r="E97" s="92" t="s">
        <v>330</v>
      </c>
      <c r="F97" s="92" t="s">
        <v>227</v>
      </c>
      <c r="G97" s="62">
        <v>54.31</v>
      </c>
      <c r="H97" s="62"/>
      <c r="I97" s="62"/>
      <c r="J97" s="22" t="s">
        <v>265</v>
      </c>
      <c r="K97" s="22" t="s">
        <v>144</v>
      </c>
      <c r="L97" s="41">
        <f>VLOOKUP(K97,Reinigungstage!A10:K31,11,FALSE)</f>
        <v>1</v>
      </c>
      <c r="M97" s="41">
        <f t="shared" si="18"/>
        <v>54.31</v>
      </c>
      <c r="N97" s="93"/>
      <c r="O97" s="41"/>
      <c r="P97" s="41">
        <f t="shared" si="19"/>
        <v>0</v>
      </c>
      <c r="Q97" s="41">
        <f t="shared" si="20"/>
        <v>0</v>
      </c>
      <c r="R97" s="41">
        <f t="shared" si="21"/>
        <v>0</v>
      </c>
      <c r="S97" s="4" t="str">
        <f t="shared" si="22"/>
        <v>Leistungswert eintragen</v>
      </c>
      <c r="U97" s="4">
        <f t="shared" si="23"/>
        <v>14</v>
      </c>
      <c r="V97" s="4">
        <f t="shared" si="24"/>
        <v>4.2</v>
      </c>
      <c r="W97" s="4">
        <f t="shared" si="25"/>
        <v>18.2</v>
      </c>
      <c r="X97" s="4" t="str">
        <f t="shared" si="26"/>
        <v/>
      </c>
    </row>
    <row r="98" spans="1:24" ht="24.95" customHeight="1" x14ac:dyDescent="0.2">
      <c r="A98" s="22">
        <v>77</v>
      </c>
      <c r="B98" s="91" t="s">
        <v>397</v>
      </c>
      <c r="C98" s="92" t="s">
        <v>355</v>
      </c>
      <c r="D98" s="92" t="s">
        <v>275</v>
      </c>
      <c r="E98" s="92" t="s">
        <v>330</v>
      </c>
      <c r="F98" s="92" t="s">
        <v>227</v>
      </c>
      <c r="G98" s="62">
        <v>75.239999999999995</v>
      </c>
      <c r="H98" s="62"/>
      <c r="I98" s="62"/>
      <c r="J98" s="22" t="s">
        <v>265</v>
      </c>
      <c r="K98" s="22" t="s">
        <v>144</v>
      </c>
      <c r="L98" s="41">
        <f>VLOOKUP(K98,Reinigungstage!A10:K31,11,FALSE)</f>
        <v>1</v>
      </c>
      <c r="M98" s="41">
        <f t="shared" si="18"/>
        <v>75.239999999999995</v>
      </c>
      <c r="N98" s="93"/>
      <c r="O98" s="41"/>
      <c r="P98" s="41">
        <f t="shared" si="19"/>
        <v>0</v>
      </c>
      <c r="Q98" s="41">
        <f t="shared" si="20"/>
        <v>0</v>
      </c>
      <c r="R98" s="41">
        <f t="shared" si="21"/>
        <v>0</v>
      </c>
      <c r="S98" s="4" t="str">
        <f t="shared" si="22"/>
        <v>Leistungswert eintragen</v>
      </c>
      <c r="U98" s="4">
        <f t="shared" si="23"/>
        <v>14</v>
      </c>
      <c r="V98" s="4">
        <f t="shared" si="24"/>
        <v>4.2</v>
      </c>
      <c r="W98" s="4">
        <f t="shared" si="25"/>
        <v>18.2</v>
      </c>
      <c r="X98" s="4" t="str">
        <f t="shared" si="26"/>
        <v/>
      </c>
    </row>
    <row r="99" spans="1:24" ht="15" customHeight="1" x14ac:dyDescent="0.2">
      <c r="A99" s="22">
        <v>78</v>
      </c>
      <c r="B99" s="91" t="s">
        <v>398</v>
      </c>
      <c r="C99" s="92" t="s">
        <v>355</v>
      </c>
      <c r="D99" s="92" t="s">
        <v>275</v>
      </c>
      <c r="E99" s="92" t="s">
        <v>337</v>
      </c>
      <c r="F99" s="92" t="s">
        <v>287</v>
      </c>
      <c r="G99" s="62">
        <v>112.61</v>
      </c>
      <c r="H99" s="62"/>
      <c r="I99" s="62"/>
      <c r="J99" s="22" t="s">
        <v>264</v>
      </c>
      <c r="K99" s="22" t="s">
        <v>144</v>
      </c>
      <c r="L99" s="41">
        <f>VLOOKUP(K99,Reinigungstage!A10:K31,11,FALSE)</f>
        <v>1</v>
      </c>
      <c r="M99" s="41">
        <f t="shared" si="18"/>
        <v>112.61</v>
      </c>
      <c r="N99" s="93"/>
      <c r="O99" s="41"/>
      <c r="P99" s="41">
        <f t="shared" si="19"/>
        <v>0</v>
      </c>
      <c r="Q99" s="41">
        <f t="shared" si="20"/>
        <v>0</v>
      </c>
      <c r="R99" s="41">
        <f t="shared" si="21"/>
        <v>0</v>
      </c>
      <c r="S99" s="4" t="str">
        <f t="shared" si="22"/>
        <v>Leistungswert eintragen</v>
      </c>
      <c r="U99" s="4">
        <f t="shared" si="23"/>
        <v>24</v>
      </c>
      <c r="V99" s="4">
        <f t="shared" si="24"/>
        <v>7.1999999999999993</v>
      </c>
      <c r="W99" s="4">
        <f t="shared" si="25"/>
        <v>31.2</v>
      </c>
      <c r="X99" s="4" t="str">
        <f t="shared" si="26"/>
        <v/>
      </c>
    </row>
    <row r="100" spans="1:24" ht="15" customHeight="1" x14ac:dyDescent="0.2">
      <c r="A100" s="22">
        <v>79</v>
      </c>
      <c r="B100" s="91" t="s">
        <v>399</v>
      </c>
      <c r="C100" s="92" t="s">
        <v>355</v>
      </c>
      <c r="D100" s="92" t="s">
        <v>275</v>
      </c>
      <c r="E100" s="92" t="s">
        <v>400</v>
      </c>
      <c r="F100" s="92" t="s">
        <v>227</v>
      </c>
      <c r="G100" s="62">
        <v>75.17</v>
      </c>
      <c r="H100" s="62"/>
      <c r="I100" s="62"/>
      <c r="J100" s="22" t="s">
        <v>265</v>
      </c>
      <c r="K100" s="22" t="s">
        <v>144</v>
      </c>
      <c r="L100" s="41">
        <f>VLOOKUP(K100,Reinigungstage!A10:K31,11,FALSE)</f>
        <v>1</v>
      </c>
      <c r="M100" s="41">
        <f t="shared" si="18"/>
        <v>75.17</v>
      </c>
      <c r="N100" s="93"/>
      <c r="O100" s="41"/>
      <c r="P100" s="41">
        <f t="shared" si="19"/>
        <v>0</v>
      </c>
      <c r="Q100" s="41">
        <f t="shared" si="20"/>
        <v>0</v>
      </c>
      <c r="R100" s="41">
        <f t="shared" si="21"/>
        <v>0</v>
      </c>
      <c r="S100" s="4" t="str">
        <f t="shared" si="22"/>
        <v>Leistungswert eintragen</v>
      </c>
      <c r="U100" s="4">
        <f t="shared" si="23"/>
        <v>14</v>
      </c>
      <c r="V100" s="4">
        <f t="shared" si="24"/>
        <v>4.2</v>
      </c>
      <c r="W100" s="4">
        <f t="shared" si="25"/>
        <v>18.2</v>
      </c>
      <c r="X100" s="4" t="str">
        <f t="shared" si="26"/>
        <v/>
      </c>
    </row>
    <row r="101" spans="1:24" ht="15" customHeight="1" x14ac:dyDescent="0.2">
      <c r="A101" s="22">
        <v>80</v>
      </c>
      <c r="B101" s="91" t="s">
        <v>401</v>
      </c>
      <c r="C101" s="92" t="s">
        <v>355</v>
      </c>
      <c r="D101" s="92" t="s">
        <v>275</v>
      </c>
      <c r="E101" s="92" t="s">
        <v>341</v>
      </c>
      <c r="F101" s="92" t="s">
        <v>287</v>
      </c>
      <c r="G101" s="62">
        <v>59.71</v>
      </c>
      <c r="H101" s="62"/>
      <c r="I101" s="62"/>
      <c r="J101" s="22" t="s">
        <v>270</v>
      </c>
      <c r="K101" s="22" t="s">
        <v>144</v>
      </c>
      <c r="L101" s="41">
        <f>VLOOKUP(K101,Reinigungstage!A10:K31,11,FALSE)</f>
        <v>1</v>
      </c>
      <c r="M101" s="41">
        <f t="shared" si="18"/>
        <v>59.71</v>
      </c>
      <c r="N101" s="93"/>
      <c r="O101" s="41"/>
      <c r="P101" s="41">
        <f t="shared" si="19"/>
        <v>0</v>
      </c>
      <c r="Q101" s="41">
        <f t="shared" si="20"/>
        <v>0</v>
      </c>
      <c r="R101" s="41">
        <f t="shared" si="21"/>
        <v>0</v>
      </c>
      <c r="S101" s="4" t="str">
        <f t="shared" si="22"/>
        <v>Leistungswert eintragen</v>
      </c>
      <c r="U101" s="4">
        <f t="shared" si="23"/>
        <v>14</v>
      </c>
      <c r="V101" s="4">
        <f t="shared" si="24"/>
        <v>4.2</v>
      </c>
      <c r="W101" s="4">
        <f t="shared" si="25"/>
        <v>18.2</v>
      </c>
      <c r="X101" s="4" t="str">
        <f t="shared" si="26"/>
        <v/>
      </c>
    </row>
    <row r="102" spans="1:24" ht="15" customHeight="1" x14ac:dyDescent="0.2">
      <c r="A102" s="22">
        <v>81</v>
      </c>
      <c r="B102" s="91" t="s">
        <v>404</v>
      </c>
      <c r="C102" s="92" t="s">
        <v>355</v>
      </c>
      <c r="D102" s="92" t="s">
        <v>275</v>
      </c>
      <c r="E102" s="92" t="s">
        <v>405</v>
      </c>
      <c r="F102" s="92" t="s">
        <v>227</v>
      </c>
      <c r="G102" s="62">
        <v>75.180000000000007</v>
      </c>
      <c r="H102" s="62"/>
      <c r="I102" s="62"/>
      <c r="J102" s="22" t="s">
        <v>265</v>
      </c>
      <c r="K102" s="22" t="s">
        <v>144</v>
      </c>
      <c r="L102" s="41">
        <f>VLOOKUP(K102,Reinigungstage!A10:K31,11,FALSE)</f>
        <v>1</v>
      </c>
      <c r="M102" s="41">
        <f t="shared" si="18"/>
        <v>75.180000000000007</v>
      </c>
      <c r="N102" s="93"/>
      <c r="O102" s="41"/>
      <c r="P102" s="41">
        <f t="shared" si="19"/>
        <v>0</v>
      </c>
      <c r="Q102" s="41">
        <f t="shared" si="20"/>
        <v>0</v>
      </c>
      <c r="R102" s="41">
        <f t="shared" si="21"/>
        <v>0</v>
      </c>
      <c r="S102" s="4" t="str">
        <f t="shared" si="22"/>
        <v>Leistungswert eintragen</v>
      </c>
      <c r="U102" s="4">
        <f t="shared" si="23"/>
        <v>14</v>
      </c>
      <c r="V102" s="4">
        <f t="shared" si="24"/>
        <v>4.2</v>
      </c>
      <c r="W102" s="4">
        <f t="shared" si="25"/>
        <v>18.2</v>
      </c>
      <c r="X102" s="4" t="str">
        <f t="shared" si="26"/>
        <v/>
      </c>
    </row>
    <row r="103" spans="1:24" ht="15" customHeight="1" x14ac:dyDescent="0.2">
      <c r="A103" s="22">
        <v>82</v>
      </c>
      <c r="B103" s="91" t="s">
        <v>406</v>
      </c>
      <c r="C103" s="92" t="s">
        <v>355</v>
      </c>
      <c r="D103" s="92" t="s">
        <v>275</v>
      </c>
      <c r="E103" s="92" t="s">
        <v>407</v>
      </c>
      <c r="F103" s="92" t="s">
        <v>227</v>
      </c>
      <c r="G103" s="62">
        <v>75.180000000000007</v>
      </c>
      <c r="H103" s="62"/>
      <c r="I103" s="62"/>
      <c r="J103" s="22" t="s">
        <v>265</v>
      </c>
      <c r="K103" s="22" t="s">
        <v>144</v>
      </c>
      <c r="L103" s="41">
        <f>VLOOKUP(K103,Reinigungstage!A10:K31,11,FALSE)</f>
        <v>1</v>
      </c>
      <c r="M103" s="41">
        <f t="shared" si="18"/>
        <v>75.180000000000007</v>
      </c>
      <c r="N103" s="93"/>
      <c r="O103" s="41"/>
      <c r="P103" s="41">
        <f t="shared" si="19"/>
        <v>0</v>
      </c>
      <c r="Q103" s="41">
        <f t="shared" si="20"/>
        <v>0</v>
      </c>
      <c r="R103" s="41">
        <f t="shared" si="21"/>
        <v>0</v>
      </c>
      <c r="S103" s="4" t="str">
        <f t="shared" si="22"/>
        <v>Leistungswert eintragen</v>
      </c>
      <c r="U103" s="4">
        <f t="shared" si="23"/>
        <v>14</v>
      </c>
      <c r="V103" s="4">
        <f t="shared" si="24"/>
        <v>4.2</v>
      </c>
      <c r="W103" s="4">
        <f t="shared" si="25"/>
        <v>18.2</v>
      </c>
      <c r="X103" s="4" t="str">
        <f t="shared" si="26"/>
        <v/>
      </c>
    </row>
    <row r="104" spans="1:24" ht="15" customHeight="1" x14ac:dyDescent="0.2">
      <c r="A104" s="22">
        <v>83</v>
      </c>
      <c r="B104" s="91" t="s">
        <v>408</v>
      </c>
      <c r="C104" s="92" t="s">
        <v>355</v>
      </c>
      <c r="D104" s="92" t="s">
        <v>275</v>
      </c>
      <c r="E104" s="92" t="s">
        <v>347</v>
      </c>
      <c r="F104" s="92" t="s">
        <v>287</v>
      </c>
      <c r="G104" s="62">
        <v>44.92</v>
      </c>
      <c r="H104" s="62"/>
      <c r="I104" s="62"/>
      <c r="J104" s="22" t="s">
        <v>270</v>
      </c>
      <c r="K104" s="22" t="s">
        <v>144</v>
      </c>
      <c r="L104" s="41">
        <f>VLOOKUP(K104,Reinigungstage!A10:K31,11,FALSE)</f>
        <v>1</v>
      </c>
      <c r="M104" s="41">
        <f t="shared" si="18"/>
        <v>44.92</v>
      </c>
      <c r="N104" s="93"/>
      <c r="O104" s="41"/>
      <c r="P104" s="41">
        <f t="shared" si="19"/>
        <v>0</v>
      </c>
      <c r="Q104" s="41">
        <f t="shared" si="20"/>
        <v>0</v>
      </c>
      <c r="R104" s="41">
        <f t="shared" si="21"/>
        <v>0</v>
      </c>
      <c r="S104" s="4" t="str">
        <f t="shared" si="22"/>
        <v>Leistungswert eintragen</v>
      </c>
      <c r="U104" s="4">
        <f t="shared" si="23"/>
        <v>14</v>
      </c>
      <c r="V104" s="4">
        <f t="shared" si="24"/>
        <v>4.2</v>
      </c>
      <c r="W104" s="4">
        <f t="shared" si="25"/>
        <v>18.2</v>
      </c>
      <c r="X104" s="4" t="str">
        <f t="shared" si="26"/>
        <v/>
      </c>
    </row>
    <row r="105" spans="1:24" ht="15" customHeight="1" x14ac:dyDescent="0.2">
      <c r="A105" s="22">
        <v>84</v>
      </c>
      <c r="B105" s="91" t="s">
        <v>409</v>
      </c>
      <c r="C105" s="92" t="s">
        <v>355</v>
      </c>
      <c r="D105" s="92" t="s">
        <v>275</v>
      </c>
      <c r="E105" s="92" t="s">
        <v>410</v>
      </c>
      <c r="F105" s="92" t="s">
        <v>227</v>
      </c>
      <c r="G105" s="62">
        <v>27.02</v>
      </c>
      <c r="H105" s="62"/>
      <c r="I105" s="62"/>
      <c r="J105" s="22" t="s">
        <v>266</v>
      </c>
      <c r="K105" s="22" t="s">
        <v>144</v>
      </c>
      <c r="L105" s="41">
        <f>VLOOKUP(K105,Reinigungstage!A10:K31,11,FALSE)</f>
        <v>1</v>
      </c>
      <c r="M105" s="41">
        <f t="shared" si="18"/>
        <v>27.02</v>
      </c>
      <c r="N105" s="93"/>
      <c r="O105" s="41"/>
      <c r="P105" s="41">
        <f t="shared" si="19"/>
        <v>0</v>
      </c>
      <c r="Q105" s="41">
        <f t="shared" si="20"/>
        <v>0</v>
      </c>
      <c r="R105" s="41">
        <f t="shared" si="21"/>
        <v>0</v>
      </c>
      <c r="S105" s="4" t="str">
        <f t="shared" si="22"/>
        <v>Leistungswert eintragen</v>
      </c>
      <c r="U105" s="4">
        <f t="shared" si="23"/>
        <v>15</v>
      </c>
      <c r="V105" s="4">
        <f t="shared" si="24"/>
        <v>4.5</v>
      </c>
      <c r="W105" s="4">
        <f t="shared" si="25"/>
        <v>19.5</v>
      </c>
      <c r="X105" s="4" t="str">
        <f t="shared" si="26"/>
        <v/>
      </c>
    </row>
    <row r="106" spans="1:24" ht="15" customHeight="1" x14ac:dyDescent="0.2">
      <c r="A106" s="22">
        <v>85</v>
      </c>
      <c r="B106" s="91" t="s">
        <v>411</v>
      </c>
      <c r="C106" s="92" t="s">
        <v>355</v>
      </c>
      <c r="D106" s="92" t="s">
        <v>275</v>
      </c>
      <c r="E106" s="92" t="s">
        <v>412</v>
      </c>
      <c r="F106" s="92" t="s">
        <v>227</v>
      </c>
      <c r="G106" s="62">
        <v>75.180000000000007</v>
      </c>
      <c r="H106" s="62"/>
      <c r="I106" s="62"/>
      <c r="J106" s="22" t="s">
        <v>265</v>
      </c>
      <c r="K106" s="22" t="s">
        <v>144</v>
      </c>
      <c r="L106" s="41">
        <f>VLOOKUP(K106,Reinigungstage!A10:K31,11,FALSE)</f>
        <v>1</v>
      </c>
      <c r="M106" s="41">
        <f t="shared" si="18"/>
        <v>75.180000000000007</v>
      </c>
      <c r="N106" s="93"/>
      <c r="O106" s="41"/>
      <c r="P106" s="41">
        <f t="shared" si="19"/>
        <v>0</v>
      </c>
      <c r="Q106" s="41">
        <f t="shared" si="20"/>
        <v>0</v>
      </c>
      <c r="R106" s="41">
        <f t="shared" si="21"/>
        <v>0</v>
      </c>
      <c r="S106" s="4" t="str">
        <f t="shared" si="22"/>
        <v>Leistungswert eintragen</v>
      </c>
      <c r="U106" s="4">
        <f t="shared" si="23"/>
        <v>14</v>
      </c>
      <c r="V106" s="4">
        <f t="shared" si="24"/>
        <v>4.2</v>
      </c>
      <c r="W106" s="4">
        <f t="shared" si="25"/>
        <v>18.2</v>
      </c>
      <c r="X106" s="4" t="str">
        <f t="shared" si="26"/>
        <v/>
      </c>
    </row>
    <row r="107" spans="1:24" ht="15" customHeight="1" x14ac:dyDescent="0.2">
      <c r="A107" s="22">
        <v>86</v>
      </c>
      <c r="B107" s="91" t="s">
        <v>413</v>
      </c>
      <c r="C107" s="92" t="s">
        <v>355</v>
      </c>
      <c r="D107" s="92" t="s">
        <v>275</v>
      </c>
      <c r="E107" s="92" t="s">
        <v>414</v>
      </c>
      <c r="F107" s="92" t="s">
        <v>227</v>
      </c>
      <c r="G107" s="62">
        <v>75.180000000000007</v>
      </c>
      <c r="H107" s="62"/>
      <c r="I107" s="62"/>
      <c r="J107" s="22" t="s">
        <v>265</v>
      </c>
      <c r="K107" s="22" t="s">
        <v>144</v>
      </c>
      <c r="L107" s="41">
        <f>VLOOKUP(K107,Reinigungstage!A10:K31,11,FALSE)</f>
        <v>1</v>
      </c>
      <c r="M107" s="41">
        <f t="shared" si="18"/>
        <v>75.180000000000007</v>
      </c>
      <c r="N107" s="93"/>
      <c r="O107" s="41"/>
      <c r="P107" s="41">
        <f t="shared" si="19"/>
        <v>0</v>
      </c>
      <c r="Q107" s="41">
        <f t="shared" si="20"/>
        <v>0</v>
      </c>
      <c r="R107" s="41">
        <f t="shared" si="21"/>
        <v>0</v>
      </c>
      <c r="S107" s="4" t="str">
        <f t="shared" si="22"/>
        <v>Leistungswert eintragen</v>
      </c>
      <c r="U107" s="4">
        <f t="shared" si="23"/>
        <v>14</v>
      </c>
      <c r="V107" s="4">
        <f t="shared" si="24"/>
        <v>4.2</v>
      </c>
      <c r="W107" s="4">
        <f t="shared" si="25"/>
        <v>18.2</v>
      </c>
      <c r="X107" s="4" t="str">
        <f t="shared" si="26"/>
        <v/>
      </c>
    </row>
    <row r="108" spans="1:24" ht="15" customHeight="1" x14ac:dyDescent="0.2">
      <c r="A108" s="22">
        <v>87</v>
      </c>
      <c r="B108" s="91" t="s">
        <v>415</v>
      </c>
      <c r="C108" s="92" t="s">
        <v>355</v>
      </c>
      <c r="D108" s="92" t="s">
        <v>275</v>
      </c>
      <c r="E108" s="92" t="s">
        <v>416</v>
      </c>
      <c r="F108" s="92" t="s">
        <v>227</v>
      </c>
      <c r="G108" s="62">
        <v>26.95</v>
      </c>
      <c r="H108" s="62"/>
      <c r="I108" s="62"/>
      <c r="J108" s="22" t="s">
        <v>266</v>
      </c>
      <c r="K108" s="22" t="s">
        <v>144</v>
      </c>
      <c r="L108" s="41">
        <f>VLOOKUP(K108,Reinigungstage!A10:K31,11,FALSE)</f>
        <v>1</v>
      </c>
      <c r="M108" s="41">
        <f t="shared" si="18"/>
        <v>26.95</v>
      </c>
      <c r="N108" s="93"/>
      <c r="O108" s="41"/>
      <c r="P108" s="41">
        <f t="shared" si="19"/>
        <v>0</v>
      </c>
      <c r="Q108" s="41">
        <f t="shared" si="20"/>
        <v>0</v>
      </c>
      <c r="R108" s="41">
        <f t="shared" si="21"/>
        <v>0</v>
      </c>
      <c r="S108" s="4" t="str">
        <f t="shared" si="22"/>
        <v>Leistungswert eintragen</v>
      </c>
      <c r="U108" s="4">
        <f t="shared" si="23"/>
        <v>15</v>
      </c>
      <c r="V108" s="4">
        <f t="shared" si="24"/>
        <v>4.5</v>
      </c>
      <c r="W108" s="4">
        <f t="shared" si="25"/>
        <v>19.5</v>
      </c>
      <c r="X108" s="4" t="str">
        <f t="shared" si="26"/>
        <v/>
      </c>
    </row>
    <row r="109" spans="1:24" ht="15" customHeight="1" x14ac:dyDescent="0.2">
      <c r="A109" s="22">
        <v>88</v>
      </c>
      <c r="B109" s="91" t="s">
        <v>417</v>
      </c>
      <c r="C109" s="92" t="s">
        <v>355</v>
      </c>
      <c r="D109" s="92" t="s">
        <v>275</v>
      </c>
      <c r="E109" s="92" t="s">
        <v>418</v>
      </c>
      <c r="F109" s="92" t="s">
        <v>227</v>
      </c>
      <c r="G109" s="62">
        <v>75.180000000000007</v>
      </c>
      <c r="H109" s="62"/>
      <c r="I109" s="62"/>
      <c r="J109" s="22" t="s">
        <v>265</v>
      </c>
      <c r="K109" s="22" t="s">
        <v>144</v>
      </c>
      <c r="L109" s="41">
        <f>VLOOKUP(K109,Reinigungstage!A10:K31,11,FALSE)</f>
        <v>1</v>
      </c>
      <c r="M109" s="41">
        <f t="shared" si="18"/>
        <v>75.180000000000007</v>
      </c>
      <c r="N109" s="93"/>
      <c r="O109" s="41"/>
      <c r="P109" s="41">
        <f t="shared" si="19"/>
        <v>0</v>
      </c>
      <c r="Q109" s="41">
        <f t="shared" si="20"/>
        <v>0</v>
      </c>
      <c r="R109" s="41">
        <f t="shared" si="21"/>
        <v>0</v>
      </c>
      <c r="S109" s="4" t="str">
        <f t="shared" si="22"/>
        <v>Leistungswert eintragen</v>
      </c>
      <c r="U109" s="4">
        <f t="shared" si="23"/>
        <v>14</v>
      </c>
      <c r="V109" s="4">
        <f t="shared" si="24"/>
        <v>4.2</v>
      </c>
      <c r="W109" s="4">
        <f t="shared" si="25"/>
        <v>18.2</v>
      </c>
      <c r="X109" s="4" t="str">
        <f t="shared" si="26"/>
        <v/>
      </c>
    </row>
    <row r="110" spans="1:24" ht="15" customHeight="1" x14ac:dyDescent="0.2">
      <c r="A110" s="22">
        <v>89</v>
      </c>
      <c r="B110" s="91" t="s">
        <v>419</v>
      </c>
      <c r="C110" s="92" t="s">
        <v>355</v>
      </c>
      <c r="D110" s="92" t="s">
        <v>275</v>
      </c>
      <c r="E110" s="92" t="s">
        <v>420</v>
      </c>
      <c r="F110" s="92" t="s">
        <v>277</v>
      </c>
      <c r="G110" s="62">
        <v>98.9</v>
      </c>
      <c r="H110" s="62"/>
      <c r="I110" s="62"/>
      <c r="J110" s="22" t="s">
        <v>264</v>
      </c>
      <c r="K110" s="22" t="s">
        <v>144</v>
      </c>
      <c r="L110" s="41">
        <f>VLOOKUP(K110,Reinigungstage!A10:K31,11,FALSE)</f>
        <v>1</v>
      </c>
      <c r="M110" s="41">
        <f t="shared" si="18"/>
        <v>98.9</v>
      </c>
      <c r="N110" s="93"/>
      <c r="O110" s="41"/>
      <c r="P110" s="41">
        <f t="shared" si="19"/>
        <v>0</v>
      </c>
      <c r="Q110" s="41">
        <f t="shared" si="20"/>
        <v>0</v>
      </c>
      <c r="R110" s="41">
        <f t="shared" si="21"/>
        <v>0</v>
      </c>
      <c r="S110" s="4" t="str">
        <f t="shared" si="22"/>
        <v>Leistungswert eintragen</v>
      </c>
      <c r="U110" s="4">
        <f t="shared" si="23"/>
        <v>24</v>
      </c>
      <c r="V110" s="4">
        <f t="shared" si="24"/>
        <v>7.1999999999999993</v>
      </c>
      <c r="W110" s="4">
        <f t="shared" si="25"/>
        <v>31.2</v>
      </c>
      <c r="X110" s="4" t="str">
        <f t="shared" si="26"/>
        <v/>
      </c>
    </row>
    <row r="111" spans="1:24" ht="21" x14ac:dyDescent="0.2">
      <c r="A111" s="22">
        <v>90</v>
      </c>
      <c r="B111" s="91" t="s">
        <v>421</v>
      </c>
      <c r="C111" s="92" t="s">
        <v>422</v>
      </c>
      <c r="D111" s="149" t="s">
        <v>581</v>
      </c>
      <c r="E111" s="149" t="s">
        <v>423</v>
      </c>
      <c r="F111" s="92" t="s">
        <v>227</v>
      </c>
      <c r="G111" s="62">
        <v>78.88</v>
      </c>
      <c r="H111" s="62"/>
      <c r="I111" s="62"/>
      <c r="J111" s="22" t="s">
        <v>272</v>
      </c>
      <c r="K111" s="22" t="s">
        <v>144</v>
      </c>
      <c r="L111" s="41">
        <f>VLOOKUP(K111,Reinigungstage!A10:K31,11,FALSE)</f>
        <v>1</v>
      </c>
      <c r="M111" s="41">
        <f t="shared" si="18"/>
        <v>78.88</v>
      </c>
      <c r="N111" s="93"/>
      <c r="O111" s="41"/>
      <c r="P111" s="41">
        <f t="shared" si="19"/>
        <v>0</v>
      </c>
      <c r="Q111" s="41">
        <f t="shared" si="20"/>
        <v>0</v>
      </c>
      <c r="R111" s="41">
        <f t="shared" si="21"/>
        <v>0</v>
      </c>
      <c r="S111" s="4" t="str">
        <f t="shared" si="22"/>
        <v>Leistungswert eintragen</v>
      </c>
      <c r="U111" s="4">
        <f t="shared" si="23"/>
        <v>15</v>
      </c>
      <c r="V111" s="4">
        <f t="shared" si="24"/>
        <v>4.5</v>
      </c>
      <c r="W111" s="4">
        <f t="shared" si="25"/>
        <v>19.5</v>
      </c>
      <c r="X111" s="4" t="str">
        <f t="shared" si="26"/>
        <v/>
      </c>
    </row>
    <row r="112" spans="1:24" ht="21" x14ac:dyDescent="0.2">
      <c r="A112" s="22">
        <v>91</v>
      </c>
      <c r="B112" s="91" t="s">
        <v>424</v>
      </c>
      <c r="C112" s="92" t="s">
        <v>422</v>
      </c>
      <c r="D112" s="149" t="s">
        <v>581</v>
      </c>
      <c r="E112" s="149" t="s">
        <v>425</v>
      </c>
      <c r="F112" s="92" t="s">
        <v>227</v>
      </c>
      <c r="G112" s="62">
        <v>66.58</v>
      </c>
      <c r="H112" s="62"/>
      <c r="I112" s="62"/>
      <c r="J112" s="22" t="s">
        <v>272</v>
      </c>
      <c r="K112" s="22" t="s">
        <v>144</v>
      </c>
      <c r="L112" s="41">
        <f>VLOOKUP(K112,Reinigungstage!A10:K31,11,FALSE)</f>
        <v>1</v>
      </c>
      <c r="M112" s="41">
        <f t="shared" si="18"/>
        <v>66.58</v>
      </c>
      <c r="N112" s="93"/>
      <c r="O112" s="41"/>
      <c r="P112" s="41">
        <f t="shared" si="19"/>
        <v>0</v>
      </c>
      <c r="Q112" s="41">
        <f t="shared" si="20"/>
        <v>0</v>
      </c>
      <c r="R112" s="41">
        <f t="shared" si="21"/>
        <v>0</v>
      </c>
      <c r="S112" s="4" t="str">
        <f t="shared" si="22"/>
        <v>Leistungswert eintragen</v>
      </c>
      <c r="U112" s="4">
        <f t="shared" si="23"/>
        <v>15</v>
      </c>
      <c r="V112" s="4">
        <f t="shared" si="24"/>
        <v>4.5</v>
      </c>
      <c r="W112" s="4">
        <f t="shared" si="25"/>
        <v>19.5</v>
      </c>
      <c r="X112" s="4" t="str">
        <f t="shared" si="26"/>
        <v/>
      </c>
    </row>
    <row r="113" spans="1:24" ht="21" x14ac:dyDescent="0.2">
      <c r="A113" s="22">
        <v>92</v>
      </c>
      <c r="B113" s="91" t="s">
        <v>426</v>
      </c>
      <c r="C113" s="92" t="s">
        <v>422</v>
      </c>
      <c r="D113" s="149" t="s">
        <v>581</v>
      </c>
      <c r="E113" s="149" t="s">
        <v>427</v>
      </c>
      <c r="F113" s="92" t="s">
        <v>277</v>
      </c>
      <c r="G113" s="62">
        <v>19.559999999999999</v>
      </c>
      <c r="H113" s="62"/>
      <c r="I113" s="62"/>
      <c r="J113" s="22" t="s">
        <v>272</v>
      </c>
      <c r="K113" s="22" t="s">
        <v>144</v>
      </c>
      <c r="L113" s="41">
        <f>VLOOKUP(K113,Reinigungstage!A10:K31,11,FALSE)</f>
        <v>1</v>
      </c>
      <c r="M113" s="41">
        <f t="shared" si="18"/>
        <v>19.559999999999999</v>
      </c>
      <c r="N113" s="93"/>
      <c r="O113" s="41"/>
      <c r="P113" s="41">
        <f t="shared" si="19"/>
        <v>0</v>
      </c>
      <c r="Q113" s="41">
        <f t="shared" si="20"/>
        <v>0</v>
      </c>
      <c r="R113" s="41">
        <f t="shared" si="21"/>
        <v>0</v>
      </c>
      <c r="S113" s="4" t="str">
        <f t="shared" si="22"/>
        <v>Leistungswert eintragen</v>
      </c>
      <c r="U113" s="4">
        <f t="shared" si="23"/>
        <v>15</v>
      </c>
      <c r="V113" s="4">
        <f t="shared" si="24"/>
        <v>4.5</v>
      </c>
      <c r="W113" s="4">
        <f t="shared" si="25"/>
        <v>19.5</v>
      </c>
      <c r="X113" s="4" t="str">
        <f t="shared" si="26"/>
        <v/>
      </c>
    </row>
    <row r="114" spans="1:24" ht="21" x14ac:dyDescent="0.2">
      <c r="A114" s="22">
        <v>93</v>
      </c>
      <c r="B114" s="91" t="s">
        <v>428</v>
      </c>
      <c r="C114" s="92" t="s">
        <v>422</v>
      </c>
      <c r="D114" s="149" t="s">
        <v>581</v>
      </c>
      <c r="E114" s="149" t="s">
        <v>429</v>
      </c>
      <c r="F114" s="92" t="s">
        <v>227</v>
      </c>
      <c r="G114" s="62">
        <v>45.46</v>
      </c>
      <c r="H114" s="62"/>
      <c r="I114" s="62"/>
      <c r="J114" s="22" t="s">
        <v>272</v>
      </c>
      <c r="K114" s="22" t="s">
        <v>144</v>
      </c>
      <c r="L114" s="41">
        <f>VLOOKUP(K114,Reinigungstage!A10:K31,11,FALSE)</f>
        <v>1</v>
      </c>
      <c r="M114" s="41">
        <f t="shared" ref="M114:M144" si="27">ROUND(IF(L114=0,0,L114*G114),2)</f>
        <v>45.46</v>
      </c>
      <c r="N114" s="93"/>
      <c r="O114" s="41"/>
      <c r="P114" s="41">
        <f t="shared" ref="P114:P144" si="28">ROUND(IF(N114=0,0,M114/N114),2)</f>
        <v>0</v>
      </c>
      <c r="Q114" s="41">
        <f t="shared" ref="Q114:Q144" si="29">ROUND(IF(P114=0,0,P114*O114),2)</f>
        <v>0</v>
      </c>
      <c r="R114" s="41">
        <f t="shared" ref="R114:R144" si="30">ROUND(IF(P114=0,0,Q114/L114),2)</f>
        <v>0</v>
      </c>
      <c r="S114" s="4" t="str">
        <f t="shared" ref="S114:S144" si="31">IF(M114=0,"",IF(N114=0,"Leistungswert eintragen",IF(O114=0,"SVS prüfen","")))</f>
        <v>Leistungswert eintragen</v>
      </c>
      <c r="U114" s="4">
        <f t="shared" ref="U114:U144" si="32">VLOOKUP(J114,$U$4:$V$12,2,FALSE)</f>
        <v>15</v>
      </c>
      <c r="V114" s="4">
        <f t="shared" ref="V114:V144" si="33">U114*30%</f>
        <v>4.5</v>
      </c>
      <c r="W114" s="4">
        <f t="shared" ref="W114:W144" si="34">SUM(U114:V114)</f>
        <v>19.5</v>
      </c>
      <c r="X114" s="4" t="str">
        <f t="shared" ref="X114:X144" si="35">IF(N114=0,"",IF(W114&lt;N114,1,IF(W114&gt;=N114,0,"")))</f>
        <v/>
      </c>
    </row>
    <row r="115" spans="1:24" ht="21" x14ac:dyDescent="0.2">
      <c r="A115" s="22">
        <v>94</v>
      </c>
      <c r="B115" s="91" t="s">
        <v>430</v>
      </c>
      <c r="C115" s="92" t="s">
        <v>422</v>
      </c>
      <c r="D115" s="149" t="s">
        <v>581</v>
      </c>
      <c r="E115" s="149" t="s">
        <v>431</v>
      </c>
      <c r="F115" s="92" t="s">
        <v>227</v>
      </c>
      <c r="G115" s="62">
        <v>51.47</v>
      </c>
      <c r="H115" s="62"/>
      <c r="I115" s="62"/>
      <c r="J115" s="22" t="s">
        <v>269</v>
      </c>
      <c r="K115" s="22" t="s">
        <v>144</v>
      </c>
      <c r="L115" s="41">
        <f>VLOOKUP(K115,Reinigungstage!A10:K31,11,FALSE)</f>
        <v>1</v>
      </c>
      <c r="M115" s="41">
        <f t="shared" si="27"/>
        <v>51.47</v>
      </c>
      <c r="N115" s="93"/>
      <c r="O115" s="41"/>
      <c r="P115" s="41">
        <f t="shared" si="28"/>
        <v>0</v>
      </c>
      <c r="Q115" s="41">
        <f t="shared" si="29"/>
        <v>0</v>
      </c>
      <c r="R115" s="41">
        <f t="shared" si="30"/>
        <v>0</v>
      </c>
      <c r="S115" s="4" t="str">
        <f t="shared" si="31"/>
        <v>Leistungswert eintragen</v>
      </c>
      <c r="U115" s="4">
        <f t="shared" si="32"/>
        <v>16.5</v>
      </c>
      <c r="V115" s="4">
        <f t="shared" si="33"/>
        <v>4.95</v>
      </c>
      <c r="W115" s="4">
        <f t="shared" si="34"/>
        <v>21.45</v>
      </c>
      <c r="X115" s="4" t="str">
        <f t="shared" si="35"/>
        <v/>
      </c>
    </row>
    <row r="116" spans="1:24" ht="21" x14ac:dyDescent="0.2">
      <c r="A116" s="22">
        <v>95</v>
      </c>
      <c r="B116" s="91" t="s">
        <v>432</v>
      </c>
      <c r="C116" s="92" t="s">
        <v>422</v>
      </c>
      <c r="D116" s="149" t="s">
        <v>581</v>
      </c>
      <c r="E116" s="149" t="s">
        <v>433</v>
      </c>
      <c r="F116" s="92" t="s">
        <v>277</v>
      </c>
      <c r="G116" s="62">
        <v>14.41</v>
      </c>
      <c r="H116" s="62"/>
      <c r="I116" s="62"/>
      <c r="J116" s="22" t="s">
        <v>273</v>
      </c>
      <c r="K116" s="22" t="s">
        <v>144</v>
      </c>
      <c r="L116" s="41">
        <f>VLOOKUP(K116,Reinigungstage!A10:K31,11,FALSE)</f>
        <v>1</v>
      </c>
      <c r="M116" s="41">
        <f t="shared" si="27"/>
        <v>14.41</v>
      </c>
      <c r="N116" s="93"/>
      <c r="O116" s="41"/>
      <c r="P116" s="41">
        <f t="shared" si="28"/>
        <v>0</v>
      </c>
      <c r="Q116" s="41">
        <f t="shared" si="29"/>
        <v>0</v>
      </c>
      <c r="R116" s="41">
        <f t="shared" si="30"/>
        <v>0</v>
      </c>
      <c r="S116" s="4" t="str">
        <f t="shared" si="31"/>
        <v>Leistungswert eintragen</v>
      </c>
      <c r="U116" s="4">
        <f t="shared" si="32"/>
        <v>13</v>
      </c>
      <c r="V116" s="4">
        <f t="shared" si="33"/>
        <v>3.9</v>
      </c>
      <c r="W116" s="4">
        <f t="shared" si="34"/>
        <v>16.899999999999999</v>
      </c>
      <c r="X116" s="4" t="str">
        <f t="shared" si="35"/>
        <v/>
      </c>
    </row>
    <row r="117" spans="1:24" ht="21" x14ac:dyDescent="0.2">
      <c r="A117" s="22">
        <v>96</v>
      </c>
      <c r="B117" s="91" t="s">
        <v>434</v>
      </c>
      <c r="C117" s="92" t="s">
        <v>422</v>
      </c>
      <c r="D117" s="149" t="s">
        <v>581</v>
      </c>
      <c r="E117" s="149" t="s">
        <v>435</v>
      </c>
      <c r="F117" s="92" t="s">
        <v>277</v>
      </c>
      <c r="G117" s="62">
        <v>28.5</v>
      </c>
      <c r="H117" s="62"/>
      <c r="I117" s="62"/>
      <c r="J117" s="22" t="s">
        <v>272</v>
      </c>
      <c r="K117" s="22" t="s">
        <v>144</v>
      </c>
      <c r="L117" s="41">
        <f>VLOOKUP(K117,Reinigungstage!A10:K31,11,FALSE)</f>
        <v>1</v>
      </c>
      <c r="M117" s="41">
        <f t="shared" si="27"/>
        <v>28.5</v>
      </c>
      <c r="N117" s="93"/>
      <c r="O117" s="41"/>
      <c r="P117" s="41">
        <f t="shared" si="28"/>
        <v>0</v>
      </c>
      <c r="Q117" s="41">
        <f t="shared" si="29"/>
        <v>0</v>
      </c>
      <c r="R117" s="41">
        <f t="shared" si="30"/>
        <v>0</v>
      </c>
      <c r="S117" s="4" t="str">
        <f t="shared" si="31"/>
        <v>Leistungswert eintragen</v>
      </c>
      <c r="U117" s="4">
        <f t="shared" si="32"/>
        <v>15</v>
      </c>
      <c r="V117" s="4">
        <f t="shared" si="33"/>
        <v>4.5</v>
      </c>
      <c r="W117" s="4">
        <f t="shared" si="34"/>
        <v>19.5</v>
      </c>
      <c r="X117" s="4" t="str">
        <f t="shared" si="35"/>
        <v/>
      </c>
    </row>
    <row r="118" spans="1:24" ht="21" x14ac:dyDescent="0.2">
      <c r="A118" s="22">
        <v>97</v>
      </c>
      <c r="B118" s="91" t="s">
        <v>436</v>
      </c>
      <c r="C118" s="92" t="s">
        <v>422</v>
      </c>
      <c r="D118" s="149" t="s">
        <v>581</v>
      </c>
      <c r="E118" s="149" t="s">
        <v>235</v>
      </c>
      <c r="F118" s="92" t="s">
        <v>287</v>
      </c>
      <c r="G118" s="62">
        <v>14.1</v>
      </c>
      <c r="H118" s="62"/>
      <c r="I118" s="62"/>
      <c r="J118" s="22" t="s">
        <v>267</v>
      </c>
      <c r="K118" s="22" t="s">
        <v>144</v>
      </c>
      <c r="L118" s="41">
        <f>VLOOKUP(K118,Reinigungstage!A10:K31,11,FALSE)</f>
        <v>1</v>
      </c>
      <c r="M118" s="41">
        <f t="shared" si="27"/>
        <v>14.1</v>
      </c>
      <c r="N118" s="93"/>
      <c r="O118" s="41"/>
      <c r="P118" s="41">
        <f t="shared" si="28"/>
        <v>0</v>
      </c>
      <c r="Q118" s="41">
        <f t="shared" si="29"/>
        <v>0</v>
      </c>
      <c r="R118" s="41">
        <f t="shared" si="30"/>
        <v>0</v>
      </c>
      <c r="S118" s="4" t="str">
        <f t="shared" si="31"/>
        <v>Leistungswert eintragen</v>
      </c>
      <c r="U118" s="4">
        <f t="shared" si="32"/>
        <v>7</v>
      </c>
      <c r="V118" s="4">
        <f t="shared" si="33"/>
        <v>2.1</v>
      </c>
      <c r="W118" s="4">
        <f t="shared" si="34"/>
        <v>9.1</v>
      </c>
      <c r="X118" s="4" t="str">
        <f t="shared" si="35"/>
        <v/>
      </c>
    </row>
    <row r="119" spans="1:24" ht="21" x14ac:dyDescent="0.2">
      <c r="A119" s="22">
        <v>98</v>
      </c>
      <c r="B119" s="91" t="s">
        <v>437</v>
      </c>
      <c r="C119" s="92" t="s">
        <v>422</v>
      </c>
      <c r="D119" s="149" t="s">
        <v>581</v>
      </c>
      <c r="E119" s="149" t="s">
        <v>226</v>
      </c>
      <c r="F119" s="92" t="s">
        <v>227</v>
      </c>
      <c r="G119" s="62">
        <v>87.48</v>
      </c>
      <c r="H119" s="62"/>
      <c r="I119" s="62"/>
      <c r="J119" s="22" t="s">
        <v>264</v>
      </c>
      <c r="K119" s="22" t="s">
        <v>144</v>
      </c>
      <c r="L119" s="41">
        <f>VLOOKUP(K119,Reinigungstage!A10:K31,11,FALSE)</f>
        <v>1</v>
      </c>
      <c r="M119" s="41">
        <f t="shared" si="27"/>
        <v>87.48</v>
      </c>
      <c r="N119" s="93"/>
      <c r="O119" s="41"/>
      <c r="P119" s="41">
        <f t="shared" si="28"/>
        <v>0</v>
      </c>
      <c r="Q119" s="41">
        <f t="shared" si="29"/>
        <v>0</v>
      </c>
      <c r="R119" s="41">
        <f t="shared" si="30"/>
        <v>0</v>
      </c>
      <c r="S119" s="4" t="str">
        <f t="shared" si="31"/>
        <v>Leistungswert eintragen</v>
      </c>
      <c r="U119" s="4">
        <f t="shared" si="32"/>
        <v>24</v>
      </c>
      <c r="V119" s="4">
        <f t="shared" si="33"/>
        <v>7.1999999999999993</v>
      </c>
      <c r="W119" s="4">
        <f t="shared" si="34"/>
        <v>31.2</v>
      </c>
      <c r="X119" s="4" t="str">
        <f t="shared" si="35"/>
        <v/>
      </c>
    </row>
    <row r="120" spans="1:24" ht="10.5" x14ac:dyDescent="0.2">
      <c r="A120" s="22">
        <v>99</v>
      </c>
      <c r="B120" s="91" t="s">
        <v>438</v>
      </c>
      <c r="C120" s="92" t="s">
        <v>422</v>
      </c>
      <c r="D120" s="149" t="s">
        <v>275</v>
      </c>
      <c r="E120" s="149" t="s">
        <v>293</v>
      </c>
      <c r="F120" s="92" t="s">
        <v>287</v>
      </c>
      <c r="G120" s="62">
        <v>18.28</v>
      </c>
      <c r="H120" s="62"/>
      <c r="I120" s="62"/>
      <c r="J120" s="22" t="s">
        <v>270</v>
      </c>
      <c r="K120" s="22" t="s">
        <v>144</v>
      </c>
      <c r="L120" s="41">
        <f>VLOOKUP(K120,Reinigungstage!A10:K31,11,FALSE)</f>
        <v>1</v>
      </c>
      <c r="M120" s="41">
        <f t="shared" si="27"/>
        <v>18.28</v>
      </c>
      <c r="N120" s="93"/>
      <c r="O120" s="41"/>
      <c r="P120" s="41">
        <f t="shared" si="28"/>
        <v>0</v>
      </c>
      <c r="Q120" s="41">
        <f t="shared" si="29"/>
        <v>0</v>
      </c>
      <c r="R120" s="41">
        <f t="shared" si="30"/>
        <v>0</v>
      </c>
      <c r="S120" s="4" t="str">
        <f t="shared" si="31"/>
        <v>Leistungswert eintragen</v>
      </c>
      <c r="U120" s="4">
        <f t="shared" si="32"/>
        <v>14</v>
      </c>
      <c r="V120" s="4">
        <f t="shared" si="33"/>
        <v>4.2</v>
      </c>
      <c r="W120" s="4">
        <f t="shared" si="34"/>
        <v>18.2</v>
      </c>
      <c r="X120" s="4" t="str">
        <f t="shared" si="35"/>
        <v/>
      </c>
    </row>
    <row r="121" spans="1:24" ht="21" x14ac:dyDescent="0.2">
      <c r="A121" s="22">
        <v>100</v>
      </c>
      <c r="B121" s="91" t="s">
        <v>439</v>
      </c>
      <c r="C121" s="92" t="s">
        <v>422</v>
      </c>
      <c r="D121" s="149" t="s">
        <v>581</v>
      </c>
      <c r="E121" s="149" t="s">
        <v>237</v>
      </c>
      <c r="F121" s="92" t="s">
        <v>287</v>
      </c>
      <c r="G121" s="62">
        <v>14.1</v>
      </c>
      <c r="H121" s="62"/>
      <c r="I121" s="62"/>
      <c r="J121" s="22" t="s">
        <v>267</v>
      </c>
      <c r="K121" s="22" t="s">
        <v>144</v>
      </c>
      <c r="L121" s="41">
        <f>VLOOKUP(K121,Reinigungstage!A10:K31,11,FALSE)</f>
        <v>1</v>
      </c>
      <c r="M121" s="41">
        <f t="shared" si="27"/>
        <v>14.1</v>
      </c>
      <c r="N121" s="93"/>
      <c r="O121" s="41"/>
      <c r="P121" s="41">
        <f t="shared" si="28"/>
        <v>0</v>
      </c>
      <c r="Q121" s="41">
        <f t="shared" si="29"/>
        <v>0</v>
      </c>
      <c r="R121" s="41">
        <f t="shared" si="30"/>
        <v>0</v>
      </c>
      <c r="S121" s="4" t="str">
        <f t="shared" si="31"/>
        <v>Leistungswert eintragen</v>
      </c>
      <c r="U121" s="4">
        <f t="shared" si="32"/>
        <v>7</v>
      </c>
      <c r="V121" s="4">
        <f t="shared" si="33"/>
        <v>2.1</v>
      </c>
      <c r="W121" s="4">
        <f t="shared" si="34"/>
        <v>9.1</v>
      </c>
      <c r="X121" s="4" t="str">
        <f t="shared" si="35"/>
        <v/>
      </c>
    </row>
    <row r="122" spans="1:24" ht="15" customHeight="1" x14ac:dyDescent="0.2">
      <c r="A122" s="22">
        <v>101</v>
      </c>
      <c r="B122" s="91" t="s">
        <v>440</v>
      </c>
      <c r="C122" s="92" t="s">
        <v>422</v>
      </c>
      <c r="D122" s="92" t="s">
        <v>275</v>
      </c>
      <c r="E122" s="92" t="s">
        <v>441</v>
      </c>
      <c r="F122" s="92" t="s">
        <v>277</v>
      </c>
      <c r="G122" s="62">
        <v>28.52</v>
      </c>
      <c r="H122" s="62"/>
      <c r="I122" s="62"/>
      <c r="J122" s="22" t="s">
        <v>273</v>
      </c>
      <c r="K122" s="22" t="s">
        <v>144</v>
      </c>
      <c r="L122" s="41">
        <f>VLOOKUP(K122,Reinigungstage!A10:K31,11,FALSE)</f>
        <v>1</v>
      </c>
      <c r="M122" s="41">
        <f t="shared" si="27"/>
        <v>28.52</v>
      </c>
      <c r="N122" s="93"/>
      <c r="O122" s="41"/>
      <c r="P122" s="41">
        <f t="shared" si="28"/>
        <v>0</v>
      </c>
      <c r="Q122" s="41">
        <f t="shared" si="29"/>
        <v>0</v>
      </c>
      <c r="R122" s="41">
        <f t="shared" si="30"/>
        <v>0</v>
      </c>
      <c r="S122" s="4" t="str">
        <f t="shared" si="31"/>
        <v>Leistungswert eintragen</v>
      </c>
      <c r="U122" s="4">
        <f t="shared" si="32"/>
        <v>13</v>
      </c>
      <c r="V122" s="4">
        <f t="shared" si="33"/>
        <v>3.9</v>
      </c>
      <c r="W122" s="4">
        <f t="shared" si="34"/>
        <v>16.899999999999999</v>
      </c>
      <c r="X122" s="4" t="str">
        <f t="shared" si="35"/>
        <v/>
      </c>
    </row>
    <row r="123" spans="1:24" ht="15" customHeight="1" x14ac:dyDescent="0.2">
      <c r="A123" s="22">
        <v>102</v>
      </c>
      <c r="B123" s="91" t="s">
        <v>442</v>
      </c>
      <c r="C123" s="92" t="s">
        <v>422</v>
      </c>
      <c r="D123" s="92" t="s">
        <v>275</v>
      </c>
      <c r="E123" s="92" t="s">
        <v>322</v>
      </c>
      <c r="F123" s="92" t="s">
        <v>227</v>
      </c>
      <c r="G123" s="62">
        <v>60.37</v>
      </c>
      <c r="H123" s="62"/>
      <c r="I123" s="62"/>
      <c r="J123" s="22" t="s">
        <v>265</v>
      </c>
      <c r="K123" s="22" t="s">
        <v>144</v>
      </c>
      <c r="L123" s="41">
        <f>VLOOKUP(K123,Reinigungstage!A10:K31,11,FALSE)</f>
        <v>1</v>
      </c>
      <c r="M123" s="41">
        <f t="shared" si="27"/>
        <v>60.37</v>
      </c>
      <c r="N123" s="93"/>
      <c r="O123" s="41"/>
      <c r="P123" s="41">
        <f t="shared" si="28"/>
        <v>0</v>
      </c>
      <c r="Q123" s="41">
        <f t="shared" si="29"/>
        <v>0</v>
      </c>
      <c r="R123" s="41">
        <f t="shared" si="30"/>
        <v>0</v>
      </c>
      <c r="S123" s="4" t="str">
        <f t="shared" si="31"/>
        <v>Leistungswert eintragen</v>
      </c>
      <c r="U123" s="4">
        <f t="shared" si="32"/>
        <v>14</v>
      </c>
      <c r="V123" s="4">
        <f t="shared" si="33"/>
        <v>4.2</v>
      </c>
      <c r="W123" s="4">
        <f t="shared" si="34"/>
        <v>18.2</v>
      </c>
      <c r="X123" s="4" t="str">
        <f t="shared" si="35"/>
        <v/>
      </c>
    </row>
    <row r="124" spans="1:24" ht="15" customHeight="1" x14ac:dyDescent="0.2">
      <c r="A124" s="22">
        <v>103</v>
      </c>
      <c r="B124" s="91" t="s">
        <v>443</v>
      </c>
      <c r="C124" s="92" t="s">
        <v>422</v>
      </c>
      <c r="D124" s="92" t="s">
        <v>275</v>
      </c>
      <c r="E124" s="92" t="s">
        <v>322</v>
      </c>
      <c r="F124" s="92" t="s">
        <v>227</v>
      </c>
      <c r="G124" s="62">
        <v>66.14</v>
      </c>
      <c r="H124" s="62"/>
      <c r="I124" s="62"/>
      <c r="J124" s="22" t="s">
        <v>265</v>
      </c>
      <c r="K124" s="22" t="s">
        <v>144</v>
      </c>
      <c r="L124" s="41">
        <f>VLOOKUP(K124,Reinigungstage!A10:K31,11,FALSE)</f>
        <v>1</v>
      </c>
      <c r="M124" s="41">
        <f t="shared" si="27"/>
        <v>66.14</v>
      </c>
      <c r="N124" s="93"/>
      <c r="O124" s="41"/>
      <c r="P124" s="41">
        <f t="shared" si="28"/>
        <v>0</v>
      </c>
      <c r="Q124" s="41">
        <f t="shared" si="29"/>
        <v>0</v>
      </c>
      <c r="R124" s="41">
        <f t="shared" si="30"/>
        <v>0</v>
      </c>
      <c r="S124" s="4" t="str">
        <f t="shared" si="31"/>
        <v>Leistungswert eintragen</v>
      </c>
      <c r="U124" s="4">
        <f t="shared" si="32"/>
        <v>14</v>
      </c>
      <c r="V124" s="4">
        <f t="shared" si="33"/>
        <v>4.2</v>
      </c>
      <c r="W124" s="4">
        <f t="shared" si="34"/>
        <v>18.2</v>
      </c>
      <c r="X124" s="4" t="str">
        <f t="shared" si="35"/>
        <v/>
      </c>
    </row>
    <row r="125" spans="1:24" ht="15" customHeight="1" x14ac:dyDescent="0.2">
      <c r="A125" s="22">
        <v>104</v>
      </c>
      <c r="B125" s="91" t="s">
        <v>444</v>
      </c>
      <c r="C125" s="92" t="s">
        <v>422</v>
      </c>
      <c r="D125" s="92" t="s">
        <v>275</v>
      </c>
      <c r="E125" s="92" t="s">
        <v>445</v>
      </c>
      <c r="F125" s="92" t="s">
        <v>227</v>
      </c>
      <c r="G125" s="62">
        <v>12.65</v>
      </c>
      <c r="H125" s="62"/>
      <c r="I125" s="62"/>
      <c r="J125" s="22" t="s">
        <v>273</v>
      </c>
      <c r="K125" s="22" t="s">
        <v>144</v>
      </c>
      <c r="L125" s="41">
        <f>VLOOKUP(K125,Reinigungstage!A10:K31,11,FALSE)</f>
        <v>1</v>
      </c>
      <c r="M125" s="41">
        <f t="shared" si="27"/>
        <v>12.65</v>
      </c>
      <c r="N125" s="93"/>
      <c r="O125" s="41"/>
      <c r="P125" s="41">
        <f t="shared" si="28"/>
        <v>0</v>
      </c>
      <c r="Q125" s="41">
        <f t="shared" si="29"/>
        <v>0</v>
      </c>
      <c r="R125" s="41">
        <f t="shared" si="30"/>
        <v>0</v>
      </c>
      <c r="S125" s="4" t="str">
        <f t="shared" si="31"/>
        <v>Leistungswert eintragen</v>
      </c>
      <c r="U125" s="4">
        <f t="shared" si="32"/>
        <v>13</v>
      </c>
      <c r="V125" s="4">
        <f t="shared" si="33"/>
        <v>3.9</v>
      </c>
      <c r="W125" s="4">
        <f t="shared" si="34"/>
        <v>16.899999999999999</v>
      </c>
      <c r="X125" s="4" t="str">
        <f t="shared" si="35"/>
        <v/>
      </c>
    </row>
    <row r="126" spans="1:24" ht="15" customHeight="1" x14ac:dyDescent="0.2">
      <c r="A126" s="22">
        <v>105</v>
      </c>
      <c r="B126" s="91" t="s">
        <v>446</v>
      </c>
      <c r="C126" s="92" t="s">
        <v>422</v>
      </c>
      <c r="D126" s="92" t="s">
        <v>275</v>
      </c>
      <c r="E126" s="92" t="s">
        <v>322</v>
      </c>
      <c r="F126" s="92" t="s">
        <v>227</v>
      </c>
      <c r="G126" s="62">
        <v>50.05</v>
      </c>
      <c r="H126" s="62"/>
      <c r="I126" s="62"/>
      <c r="J126" s="22" t="s">
        <v>265</v>
      </c>
      <c r="K126" s="22" t="s">
        <v>144</v>
      </c>
      <c r="L126" s="41">
        <f>VLOOKUP(K126,Reinigungstage!A10:K31,11,FALSE)</f>
        <v>1</v>
      </c>
      <c r="M126" s="41">
        <f t="shared" si="27"/>
        <v>50.05</v>
      </c>
      <c r="N126" s="93"/>
      <c r="O126" s="41"/>
      <c r="P126" s="41">
        <f t="shared" si="28"/>
        <v>0</v>
      </c>
      <c r="Q126" s="41">
        <f t="shared" si="29"/>
        <v>0</v>
      </c>
      <c r="R126" s="41">
        <f t="shared" si="30"/>
        <v>0</v>
      </c>
      <c r="S126" s="4" t="str">
        <f t="shared" si="31"/>
        <v>Leistungswert eintragen</v>
      </c>
      <c r="U126" s="4">
        <f t="shared" si="32"/>
        <v>14</v>
      </c>
      <c r="V126" s="4">
        <f t="shared" si="33"/>
        <v>4.2</v>
      </c>
      <c r="W126" s="4">
        <f t="shared" si="34"/>
        <v>18.2</v>
      </c>
      <c r="X126" s="4" t="str">
        <f t="shared" si="35"/>
        <v/>
      </c>
    </row>
    <row r="127" spans="1:24" ht="15" customHeight="1" x14ac:dyDescent="0.2">
      <c r="A127" s="22">
        <v>106</v>
      </c>
      <c r="B127" s="91" t="s">
        <v>447</v>
      </c>
      <c r="C127" s="92" t="s">
        <v>422</v>
      </c>
      <c r="D127" s="92" t="s">
        <v>275</v>
      </c>
      <c r="E127" s="92" t="s">
        <v>448</v>
      </c>
      <c r="F127" s="92" t="s">
        <v>227</v>
      </c>
      <c r="G127" s="62">
        <v>19.46</v>
      </c>
      <c r="H127" s="62"/>
      <c r="I127" s="62"/>
      <c r="J127" s="22" t="s">
        <v>265</v>
      </c>
      <c r="K127" s="22" t="s">
        <v>144</v>
      </c>
      <c r="L127" s="41">
        <f>VLOOKUP(K127,Reinigungstage!A10:K31,11,FALSE)</f>
        <v>1</v>
      </c>
      <c r="M127" s="41">
        <f t="shared" si="27"/>
        <v>19.46</v>
      </c>
      <c r="N127" s="93"/>
      <c r="O127" s="41"/>
      <c r="P127" s="41">
        <f t="shared" si="28"/>
        <v>0</v>
      </c>
      <c r="Q127" s="41">
        <f t="shared" si="29"/>
        <v>0</v>
      </c>
      <c r="R127" s="41">
        <f t="shared" si="30"/>
        <v>0</v>
      </c>
      <c r="S127" s="4" t="str">
        <f t="shared" si="31"/>
        <v>Leistungswert eintragen</v>
      </c>
      <c r="U127" s="4">
        <f t="shared" si="32"/>
        <v>14</v>
      </c>
      <c r="V127" s="4">
        <f t="shared" si="33"/>
        <v>4.2</v>
      </c>
      <c r="W127" s="4">
        <f t="shared" si="34"/>
        <v>18.2</v>
      </c>
      <c r="X127" s="4" t="str">
        <f t="shared" si="35"/>
        <v/>
      </c>
    </row>
    <row r="128" spans="1:24" ht="15" customHeight="1" x14ac:dyDescent="0.2">
      <c r="A128" s="22">
        <v>107</v>
      </c>
      <c r="B128" s="91" t="s">
        <v>449</v>
      </c>
      <c r="C128" s="92" t="s">
        <v>422</v>
      </c>
      <c r="D128" s="92" t="s">
        <v>275</v>
      </c>
      <c r="E128" s="92" t="s">
        <v>322</v>
      </c>
      <c r="F128" s="92" t="s">
        <v>227</v>
      </c>
      <c r="G128" s="62">
        <v>50.05</v>
      </c>
      <c r="H128" s="62"/>
      <c r="I128" s="62"/>
      <c r="J128" s="22" t="s">
        <v>265</v>
      </c>
      <c r="K128" s="22" t="s">
        <v>144</v>
      </c>
      <c r="L128" s="41">
        <f>VLOOKUP(K128,Reinigungstage!A10:K31,11,FALSE)</f>
        <v>1</v>
      </c>
      <c r="M128" s="41">
        <f t="shared" si="27"/>
        <v>50.05</v>
      </c>
      <c r="N128" s="93"/>
      <c r="O128" s="41"/>
      <c r="P128" s="41">
        <f t="shared" si="28"/>
        <v>0</v>
      </c>
      <c r="Q128" s="41">
        <f t="shared" si="29"/>
        <v>0</v>
      </c>
      <c r="R128" s="41">
        <f t="shared" si="30"/>
        <v>0</v>
      </c>
      <c r="S128" s="4" t="str">
        <f t="shared" si="31"/>
        <v>Leistungswert eintragen</v>
      </c>
      <c r="U128" s="4">
        <f t="shared" si="32"/>
        <v>14</v>
      </c>
      <c r="V128" s="4">
        <f t="shared" si="33"/>
        <v>4.2</v>
      </c>
      <c r="W128" s="4">
        <f t="shared" si="34"/>
        <v>18.2</v>
      </c>
      <c r="X128" s="4" t="str">
        <f t="shared" si="35"/>
        <v/>
      </c>
    </row>
    <row r="129" spans="1:24" ht="15" customHeight="1" x14ac:dyDescent="0.2">
      <c r="A129" s="22">
        <v>108</v>
      </c>
      <c r="B129" s="91" t="s">
        <v>450</v>
      </c>
      <c r="C129" s="92" t="s">
        <v>422</v>
      </c>
      <c r="D129" s="92" t="s">
        <v>275</v>
      </c>
      <c r="E129" s="92" t="s">
        <v>314</v>
      </c>
      <c r="F129" s="92" t="s">
        <v>227</v>
      </c>
      <c r="G129" s="62">
        <v>169.14</v>
      </c>
      <c r="H129" s="62"/>
      <c r="I129" s="62"/>
      <c r="J129" s="22" t="s">
        <v>264</v>
      </c>
      <c r="K129" s="22" t="s">
        <v>144</v>
      </c>
      <c r="L129" s="41">
        <f>VLOOKUP(K129,Reinigungstage!A10:K31,11,FALSE)</f>
        <v>1</v>
      </c>
      <c r="M129" s="41">
        <f t="shared" si="27"/>
        <v>169.14</v>
      </c>
      <c r="N129" s="93"/>
      <c r="O129" s="41"/>
      <c r="P129" s="41">
        <f t="shared" si="28"/>
        <v>0</v>
      </c>
      <c r="Q129" s="41">
        <f t="shared" si="29"/>
        <v>0</v>
      </c>
      <c r="R129" s="41">
        <f t="shared" si="30"/>
        <v>0</v>
      </c>
      <c r="S129" s="4" t="str">
        <f t="shared" si="31"/>
        <v>Leistungswert eintragen</v>
      </c>
      <c r="U129" s="4">
        <f t="shared" si="32"/>
        <v>24</v>
      </c>
      <c r="V129" s="4">
        <f t="shared" si="33"/>
        <v>7.1999999999999993</v>
      </c>
      <c r="W129" s="4">
        <f t="shared" si="34"/>
        <v>31.2</v>
      </c>
      <c r="X129" s="4" t="str">
        <f t="shared" si="35"/>
        <v/>
      </c>
    </row>
    <row r="130" spans="1:24" ht="15" customHeight="1" x14ac:dyDescent="0.2">
      <c r="A130" s="22">
        <v>109</v>
      </c>
      <c r="B130" s="91" t="s">
        <v>451</v>
      </c>
      <c r="C130" s="92" t="s">
        <v>422</v>
      </c>
      <c r="D130" s="92" t="s">
        <v>275</v>
      </c>
      <c r="E130" s="92" t="s">
        <v>226</v>
      </c>
      <c r="F130" s="92" t="s">
        <v>287</v>
      </c>
      <c r="G130" s="62">
        <v>56.58</v>
      </c>
      <c r="H130" s="62"/>
      <c r="I130" s="62"/>
      <c r="J130" s="22" t="s">
        <v>264</v>
      </c>
      <c r="K130" s="22" t="s">
        <v>144</v>
      </c>
      <c r="L130" s="41">
        <f>VLOOKUP(K130,Reinigungstage!A10:K31,11,FALSE)</f>
        <v>1</v>
      </c>
      <c r="M130" s="41">
        <f t="shared" si="27"/>
        <v>56.58</v>
      </c>
      <c r="N130" s="93"/>
      <c r="O130" s="41"/>
      <c r="P130" s="41">
        <f t="shared" si="28"/>
        <v>0</v>
      </c>
      <c r="Q130" s="41">
        <f t="shared" si="29"/>
        <v>0</v>
      </c>
      <c r="R130" s="41">
        <f t="shared" si="30"/>
        <v>0</v>
      </c>
      <c r="S130" s="4" t="str">
        <f t="shared" si="31"/>
        <v>Leistungswert eintragen</v>
      </c>
      <c r="U130" s="4">
        <f t="shared" si="32"/>
        <v>24</v>
      </c>
      <c r="V130" s="4">
        <f t="shared" si="33"/>
        <v>7.1999999999999993</v>
      </c>
      <c r="W130" s="4">
        <f t="shared" si="34"/>
        <v>31.2</v>
      </c>
      <c r="X130" s="4" t="str">
        <f t="shared" si="35"/>
        <v/>
      </c>
    </row>
    <row r="131" spans="1:24" ht="15" customHeight="1" x14ac:dyDescent="0.2">
      <c r="A131" s="22">
        <v>110</v>
      </c>
      <c r="B131" s="91" t="s">
        <v>453</v>
      </c>
      <c r="C131" s="92" t="s">
        <v>422</v>
      </c>
      <c r="D131" s="92" t="s">
        <v>275</v>
      </c>
      <c r="E131" s="92" t="s">
        <v>235</v>
      </c>
      <c r="F131" s="92" t="s">
        <v>287</v>
      </c>
      <c r="G131" s="62">
        <v>20.28</v>
      </c>
      <c r="H131" s="62"/>
      <c r="I131" s="62"/>
      <c r="J131" s="22" t="s">
        <v>267</v>
      </c>
      <c r="K131" s="22" t="s">
        <v>144</v>
      </c>
      <c r="L131" s="41">
        <f>VLOOKUP(K131,Reinigungstage!A10:K31,11,FALSE)</f>
        <v>1</v>
      </c>
      <c r="M131" s="41">
        <f t="shared" si="27"/>
        <v>20.28</v>
      </c>
      <c r="N131" s="93"/>
      <c r="O131" s="41"/>
      <c r="P131" s="41">
        <f t="shared" si="28"/>
        <v>0</v>
      </c>
      <c r="Q131" s="41">
        <f t="shared" si="29"/>
        <v>0</v>
      </c>
      <c r="R131" s="41">
        <f t="shared" si="30"/>
        <v>0</v>
      </c>
      <c r="S131" s="4" t="str">
        <f t="shared" si="31"/>
        <v>Leistungswert eintragen</v>
      </c>
      <c r="U131" s="4">
        <f t="shared" si="32"/>
        <v>7</v>
      </c>
      <c r="V131" s="4">
        <f t="shared" si="33"/>
        <v>2.1</v>
      </c>
      <c r="W131" s="4">
        <f t="shared" si="34"/>
        <v>9.1</v>
      </c>
      <c r="X131" s="4" t="str">
        <f t="shared" si="35"/>
        <v/>
      </c>
    </row>
    <row r="132" spans="1:24" ht="15" customHeight="1" x14ac:dyDescent="0.2">
      <c r="A132" s="22">
        <v>111</v>
      </c>
      <c r="B132" s="91" t="s">
        <v>454</v>
      </c>
      <c r="C132" s="92" t="s">
        <v>422</v>
      </c>
      <c r="D132" s="92" t="s">
        <v>275</v>
      </c>
      <c r="E132" s="92" t="s">
        <v>237</v>
      </c>
      <c r="F132" s="92" t="s">
        <v>287</v>
      </c>
      <c r="G132" s="62">
        <v>14.55</v>
      </c>
      <c r="H132" s="62"/>
      <c r="I132" s="62"/>
      <c r="J132" s="22" t="s">
        <v>267</v>
      </c>
      <c r="K132" s="22" t="s">
        <v>144</v>
      </c>
      <c r="L132" s="41">
        <f>VLOOKUP(K132,Reinigungstage!A10:K31,11,FALSE)</f>
        <v>1</v>
      </c>
      <c r="M132" s="41">
        <f t="shared" si="27"/>
        <v>14.55</v>
      </c>
      <c r="N132" s="93"/>
      <c r="O132" s="41"/>
      <c r="P132" s="41">
        <f t="shared" si="28"/>
        <v>0</v>
      </c>
      <c r="Q132" s="41">
        <f t="shared" si="29"/>
        <v>0</v>
      </c>
      <c r="R132" s="41">
        <f t="shared" si="30"/>
        <v>0</v>
      </c>
      <c r="S132" s="4" t="str">
        <f t="shared" si="31"/>
        <v>Leistungswert eintragen</v>
      </c>
      <c r="U132" s="4">
        <f t="shared" si="32"/>
        <v>7</v>
      </c>
      <c r="V132" s="4">
        <f t="shared" si="33"/>
        <v>2.1</v>
      </c>
      <c r="W132" s="4">
        <f t="shared" si="34"/>
        <v>9.1</v>
      </c>
      <c r="X132" s="4" t="str">
        <f t="shared" si="35"/>
        <v/>
      </c>
    </row>
    <row r="133" spans="1:24" ht="15" customHeight="1" x14ac:dyDescent="0.2">
      <c r="A133" s="22">
        <v>112</v>
      </c>
      <c r="B133" s="91" t="s">
        <v>455</v>
      </c>
      <c r="C133" s="92" t="s">
        <v>422</v>
      </c>
      <c r="D133" s="92" t="s">
        <v>275</v>
      </c>
      <c r="E133" s="92" t="s">
        <v>384</v>
      </c>
      <c r="F133" s="92" t="s">
        <v>287</v>
      </c>
      <c r="G133" s="62">
        <v>16.86</v>
      </c>
      <c r="H133" s="62"/>
      <c r="I133" s="62"/>
      <c r="J133" s="22" t="s">
        <v>267</v>
      </c>
      <c r="K133" s="22" t="s">
        <v>144</v>
      </c>
      <c r="L133" s="41">
        <f>VLOOKUP(K133,Reinigungstage!A10:K31,11,FALSE)</f>
        <v>1</v>
      </c>
      <c r="M133" s="41">
        <f t="shared" si="27"/>
        <v>16.86</v>
      </c>
      <c r="N133" s="93"/>
      <c r="O133" s="41"/>
      <c r="P133" s="41">
        <f t="shared" si="28"/>
        <v>0</v>
      </c>
      <c r="Q133" s="41">
        <f t="shared" si="29"/>
        <v>0</v>
      </c>
      <c r="R133" s="41">
        <f t="shared" si="30"/>
        <v>0</v>
      </c>
      <c r="S133" s="4" t="str">
        <f t="shared" si="31"/>
        <v>Leistungswert eintragen</v>
      </c>
      <c r="U133" s="4">
        <f t="shared" si="32"/>
        <v>7</v>
      </c>
      <c r="V133" s="4">
        <f t="shared" si="33"/>
        <v>2.1</v>
      </c>
      <c r="W133" s="4">
        <f t="shared" si="34"/>
        <v>9.1</v>
      </c>
      <c r="X133" s="4" t="str">
        <f t="shared" si="35"/>
        <v/>
      </c>
    </row>
    <row r="134" spans="1:24" ht="15" customHeight="1" x14ac:dyDescent="0.2">
      <c r="A134" s="22">
        <v>113</v>
      </c>
      <c r="B134" s="91" t="s">
        <v>456</v>
      </c>
      <c r="C134" s="92" t="s">
        <v>422</v>
      </c>
      <c r="D134" s="92" t="s">
        <v>275</v>
      </c>
      <c r="E134" s="92" t="s">
        <v>239</v>
      </c>
      <c r="F134" s="92" t="s">
        <v>287</v>
      </c>
      <c r="G134" s="62">
        <v>11.7</v>
      </c>
      <c r="H134" s="62"/>
      <c r="I134" s="62"/>
      <c r="J134" s="22" t="s">
        <v>267</v>
      </c>
      <c r="K134" s="22" t="s">
        <v>144</v>
      </c>
      <c r="L134" s="41">
        <f>VLOOKUP(K134,Reinigungstage!A10:K31,11,FALSE)</f>
        <v>1</v>
      </c>
      <c r="M134" s="41">
        <f t="shared" si="27"/>
        <v>11.7</v>
      </c>
      <c r="N134" s="93"/>
      <c r="O134" s="41"/>
      <c r="P134" s="41">
        <f t="shared" si="28"/>
        <v>0</v>
      </c>
      <c r="Q134" s="41">
        <f t="shared" si="29"/>
        <v>0</v>
      </c>
      <c r="R134" s="41">
        <f t="shared" si="30"/>
        <v>0</v>
      </c>
      <c r="S134" s="4" t="str">
        <f t="shared" si="31"/>
        <v>Leistungswert eintragen</v>
      </c>
      <c r="U134" s="4">
        <f t="shared" si="32"/>
        <v>7</v>
      </c>
      <c r="V134" s="4">
        <f t="shared" si="33"/>
        <v>2.1</v>
      </c>
      <c r="W134" s="4">
        <f t="shared" si="34"/>
        <v>9.1</v>
      </c>
      <c r="X134" s="4" t="str">
        <f t="shared" si="35"/>
        <v/>
      </c>
    </row>
    <row r="135" spans="1:24" ht="15" customHeight="1" x14ac:dyDescent="0.2">
      <c r="A135" s="22">
        <v>114</v>
      </c>
      <c r="B135" s="91" t="s">
        <v>457</v>
      </c>
      <c r="C135" s="92" t="s">
        <v>422</v>
      </c>
      <c r="D135" s="92" t="s">
        <v>275</v>
      </c>
      <c r="E135" s="92" t="s">
        <v>322</v>
      </c>
      <c r="F135" s="92" t="s">
        <v>277</v>
      </c>
      <c r="G135" s="62">
        <v>50.05</v>
      </c>
      <c r="H135" s="62"/>
      <c r="I135" s="62"/>
      <c r="J135" s="22" t="s">
        <v>265</v>
      </c>
      <c r="K135" s="22" t="s">
        <v>144</v>
      </c>
      <c r="L135" s="41">
        <f>VLOOKUP(K135,Reinigungstage!A10:K31,11,FALSE)</f>
        <v>1</v>
      </c>
      <c r="M135" s="41">
        <f t="shared" si="27"/>
        <v>50.05</v>
      </c>
      <c r="N135" s="93"/>
      <c r="O135" s="41"/>
      <c r="P135" s="41">
        <f t="shared" si="28"/>
        <v>0</v>
      </c>
      <c r="Q135" s="41">
        <f t="shared" si="29"/>
        <v>0</v>
      </c>
      <c r="R135" s="41">
        <f t="shared" si="30"/>
        <v>0</v>
      </c>
      <c r="S135" s="4" t="str">
        <f t="shared" si="31"/>
        <v>Leistungswert eintragen</v>
      </c>
      <c r="U135" s="4">
        <f t="shared" si="32"/>
        <v>14</v>
      </c>
      <c r="V135" s="4">
        <f t="shared" si="33"/>
        <v>4.2</v>
      </c>
      <c r="W135" s="4">
        <f t="shared" si="34"/>
        <v>18.2</v>
      </c>
      <c r="X135" s="4" t="str">
        <f t="shared" si="35"/>
        <v/>
      </c>
    </row>
    <row r="136" spans="1:24" ht="15" customHeight="1" x14ac:dyDescent="0.2">
      <c r="A136" s="22">
        <v>115</v>
      </c>
      <c r="B136" s="91" t="s">
        <v>458</v>
      </c>
      <c r="C136" s="92" t="s">
        <v>422</v>
      </c>
      <c r="D136" s="92" t="s">
        <v>275</v>
      </c>
      <c r="E136" s="92" t="s">
        <v>322</v>
      </c>
      <c r="F136" s="92" t="s">
        <v>227</v>
      </c>
      <c r="G136" s="62">
        <v>50.05</v>
      </c>
      <c r="H136" s="62"/>
      <c r="I136" s="62"/>
      <c r="J136" s="22" t="s">
        <v>265</v>
      </c>
      <c r="K136" s="22" t="s">
        <v>144</v>
      </c>
      <c r="L136" s="41">
        <f>VLOOKUP(K136,Reinigungstage!A10:K31,11,FALSE)</f>
        <v>1</v>
      </c>
      <c r="M136" s="41">
        <f t="shared" si="27"/>
        <v>50.05</v>
      </c>
      <c r="N136" s="93"/>
      <c r="O136" s="41"/>
      <c r="P136" s="41">
        <f t="shared" si="28"/>
        <v>0</v>
      </c>
      <c r="Q136" s="41">
        <f t="shared" si="29"/>
        <v>0</v>
      </c>
      <c r="R136" s="41">
        <f t="shared" si="30"/>
        <v>0</v>
      </c>
      <c r="S136" s="4" t="str">
        <f t="shared" si="31"/>
        <v>Leistungswert eintragen</v>
      </c>
      <c r="U136" s="4">
        <f t="shared" si="32"/>
        <v>14</v>
      </c>
      <c r="V136" s="4">
        <f t="shared" si="33"/>
        <v>4.2</v>
      </c>
      <c r="W136" s="4">
        <f t="shared" si="34"/>
        <v>18.2</v>
      </c>
      <c r="X136" s="4" t="str">
        <f t="shared" si="35"/>
        <v/>
      </c>
    </row>
    <row r="137" spans="1:24" ht="15" customHeight="1" x14ac:dyDescent="0.2">
      <c r="A137" s="22">
        <v>116</v>
      </c>
      <c r="B137" s="91" t="s">
        <v>459</v>
      </c>
      <c r="C137" s="92" t="s">
        <v>422</v>
      </c>
      <c r="D137" s="92" t="s">
        <v>275</v>
      </c>
      <c r="E137" s="92" t="s">
        <v>460</v>
      </c>
      <c r="F137" s="92" t="s">
        <v>227</v>
      </c>
      <c r="G137" s="62">
        <v>19.46</v>
      </c>
      <c r="H137" s="62"/>
      <c r="I137" s="62"/>
      <c r="J137" s="22" t="s">
        <v>265</v>
      </c>
      <c r="K137" s="22" t="s">
        <v>144</v>
      </c>
      <c r="L137" s="41">
        <f>VLOOKUP(K137,Reinigungstage!A10:K31,11,FALSE)</f>
        <v>1</v>
      </c>
      <c r="M137" s="41">
        <f t="shared" si="27"/>
        <v>19.46</v>
      </c>
      <c r="N137" s="93"/>
      <c r="O137" s="41"/>
      <c r="P137" s="41">
        <f t="shared" si="28"/>
        <v>0</v>
      </c>
      <c r="Q137" s="41">
        <f t="shared" si="29"/>
        <v>0</v>
      </c>
      <c r="R137" s="41">
        <f t="shared" si="30"/>
        <v>0</v>
      </c>
      <c r="S137" s="4" t="str">
        <f t="shared" si="31"/>
        <v>Leistungswert eintragen</v>
      </c>
      <c r="U137" s="4">
        <f t="shared" si="32"/>
        <v>14</v>
      </c>
      <c r="V137" s="4">
        <f t="shared" si="33"/>
        <v>4.2</v>
      </c>
      <c r="W137" s="4">
        <f t="shared" si="34"/>
        <v>18.2</v>
      </c>
      <c r="X137" s="4" t="str">
        <f t="shared" si="35"/>
        <v/>
      </c>
    </row>
    <row r="138" spans="1:24" ht="15" customHeight="1" x14ac:dyDescent="0.2">
      <c r="A138" s="22">
        <v>117</v>
      </c>
      <c r="B138" s="91" t="s">
        <v>461</v>
      </c>
      <c r="C138" s="92" t="s">
        <v>422</v>
      </c>
      <c r="D138" s="92" t="s">
        <v>275</v>
      </c>
      <c r="E138" s="92" t="s">
        <v>322</v>
      </c>
      <c r="F138" s="92" t="s">
        <v>227</v>
      </c>
      <c r="G138" s="62">
        <v>50.05</v>
      </c>
      <c r="H138" s="62"/>
      <c r="I138" s="62"/>
      <c r="J138" s="22" t="s">
        <v>265</v>
      </c>
      <c r="K138" s="22" t="s">
        <v>144</v>
      </c>
      <c r="L138" s="41">
        <f>VLOOKUP(K138,Reinigungstage!A10:K31,11,FALSE)</f>
        <v>1</v>
      </c>
      <c r="M138" s="41">
        <f t="shared" si="27"/>
        <v>50.05</v>
      </c>
      <c r="N138" s="93"/>
      <c r="O138" s="41"/>
      <c r="P138" s="41">
        <f t="shared" si="28"/>
        <v>0</v>
      </c>
      <c r="Q138" s="41">
        <f t="shared" si="29"/>
        <v>0</v>
      </c>
      <c r="R138" s="41">
        <f t="shared" si="30"/>
        <v>0</v>
      </c>
      <c r="S138" s="4" t="str">
        <f t="shared" si="31"/>
        <v>Leistungswert eintragen</v>
      </c>
      <c r="U138" s="4">
        <f t="shared" si="32"/>
        <v>14</v>
      </c>
      <c r="V138" s="4">
        <f t="shared" si="33"/>
        <v>4.2</v>
      </c>
      <c r="W138" s="4">
        <f t="shared" si="34"/>
        <v>18.2</v>
      </c>
      <c r="X138" s="4" t="str">
        <f t="shared" si="35"/>
        <v/>
      </c>
    </row>
    <row r="139" spans="1:24" ht="15" customHeight="1" x14ac:dyDescent="0.2">
      <c r="A139" s="22">
        <v>118</v>
      </c>
      <c r="B139" s="91" t="s">
        <v>462</v>
      </c>
      <c r="C139" s="92" t="s">
        <v>422</v>
      </c>
      <c r="D139" s="92" t="s">
        <v>275</v>
      </c>
      <c r="E139" s="92" t="s">
        <v>328</v>
      </c>
      <c r="F139" s="92" t="s">
        <v>287</v>
      </c>
      <c r="G139" s="62">
        <v>173.49</v>
      </c>
      <c r="H139" s="62"/>
      <c r="I139" s="62"/>
      <c r="J139" s="22" t="s">
        <v>264</v>
      </c>
      <c r="K139" s="22" t="s">
        <v>144</v>
      </c>
      <c r="L139" s="41">
        <f>VLOOKUP(K139,Reinigungstage!A10:K31,11,FALSE)</f>
        <v>1</v>
      </c>
      <c r="M139" s="41">
        <f t="shared" si="27"/>
        <v>173.49</v>
      </c>
      <c r="N139" s="93"/>
      <c r="O139" s="41"/>
      <c r="P139" s="41">
        <f t="shared" si="28"/>
        <v>0</v>
      </c>
      <c r="Q139" s="41">
        <f t="shared" si="29"/>
        <v>0</v>
      </c>
      <c r="R139" s="41">
        <f t="shared" si="30"/>
        <v>0</v>
      </c>
      <c r="S139" s="4" t="str">
        <f t="shared" si="31"/>
        <v>Leistungswert eintragen</v>
      </c>
      <c r="U139" s="4">
        <f t="shared" si="32"/>
        <v>24</v>
      </c>
      <c r="V139" s="4">
        <f t="shared" si="33"/>
        <v>7.1999999999999993</v>
      </c>
      <c r="W139" s="4">
        <f t="shared" si="34"/>
        <v>31.2</v>
      </c>
      <c r="X139" s="4" t="str">
        <f t="shared" si="35"/>
        <v/>
      </c>
    </row>
    <row r="140" spans="1:24" ht="15" customHeight="1" x14ac:dyDescent="0.2">
      <c r="A140" s="22">
        <v>119</v>
      </c>
      <c r="B140" s="91" t="s">
        <v>463</v>
      </c>
      <c r="C140" s="92" t="s">
        <v>422</v>
      </c>
      <c r="D140" s="92" t="s">
        <v>275</v>
      </c>
      <c r="E140" s="92" t="s">
        <v>464</v>
      </c>
      <c r="F140" s="92" t="s">
        <v>287</v>
      </c>
      <c r="G140" s="62">
        <v>30.72</v>
      </c>
      <c r="H140" s="62"/>
      <c r="I140" s="62"/>
      <c r="J140" s="22" t="s">
        <v>264</v>
      </c>
      <c r="K140" s="22" t="s">
        <v>144</v>
      </c>
      <c r="L140" s="41">
        <f>VLOOKUP(K140,Reinigungstage!A10:K31,11,FALSE)</f>
        <v>1</v>
      </c>
      <c r="M140" s="41">
        <f t="shared" si="27"/>
        <v>30.72</v>
      </c>
      <c r="N140" s="93"/>
      <c r="O140" s="41"/>
      <c r="P140" s="41">
        <f t="shared" si="28"/>
        <v>0</v>
      </c>
      <c r="Q140" s="41">
        <f t="shared" si="29"/>
        <v>0</v>
      </c>
      <c r="R140" s="41">
        <f t="shared" si="30"/>
        <v>0</v>
      </c>
      <c r="S140" s="4" t="str">
        <f t="shared" si="31"/>
        <v>Leistungswert eintragen</v>
      </c>
      <c r="U140" s="4">
        <f t="shared" si="32"/>
        <v>24</v>
      </c>
      <c r="V140" s="4">
        <f t="shared" si="33"/>
        <v>7.1999999999999993</v>
      </c>
      <c r="W140" s="4">
        <f t="shared" si="34"/>
        <v>31.2</v>
      </c>
      <c r="X140" s="4" t="str">
        <f t="shared" si="35"/>
        <v/>
      </c>
    </row>
    <row r="141" spans="1:24" ht="24.95" customHeight="1" x14ac:dyDescent="0.2">
      <c r="A141" s="22">
        <v>120</v>
      </c>
      <c r="B141" s="91" t="s">
        <v>465</v>
      </c>
      <c r="C141" s="92" t="s">
        <v>422</v>
      </c>
      <c r="D141" s="92" t="s">
        <v>275</v>
      </c>
      <c r="E141" s="92" t="s">
        <v>330</v>
      </c>
      <c r="F141" s="92" t="s">
        <v>227</v>
      </c>
      <c r="G141" s="62">
        <v>52.2</v>
      </c>
      <c r="H141" s="62"/>
      <c r="I141" s="62"/>
      <c r="J141" s="22" t="s">
        <v>265</v>
      </c>
      <c r="K141" s="22" t="s">
        <v>144</v>
      </c>
      <c r="L141" s="41">
        <f>VLOOKUP(K141,Reinigungstage!A10:K31,11,FALSE)</f>
        <v>1</v>
      </c>
      <c r="M141" s="41">
        <f t="shared" si="27"/>
        <v>52.2</v>
      </c>
      <c r="N141" s="93"/>
      <c r="O141" s="41"/>
      <c r="P141" s="41">
        <f t="shared" si="28"/>
        <v>0</v>
      </c>
      <c r="Q141" s="41">
        <f t="shared" si="29"/>
        <v>0</v>
      </c>
      <c r="R141" s="41">
        <f t="shared" si="30"/>
        <v>0</v>
      </c>
      <c r="S141" s="4" t="str">
        <f t="shared" si="31"/>
        <v>Leistungswert eintragen</v>
      </c>
      <c r="U141" s="4">
        <f t="shared" si="32"/>
        <v>14</v>
      </c>
      <c r="V141" s="4">
        <f t="shared" si="33"/>
        <v>4.2</v>
      </c>
      <c r="W141" s="4">
        <f t="shared" si="34"/>
        <v>18.2</v>
      </c>
      <c r="X141" s="4" t="str">
        <f t="shared" si="35"/>
        <v/>
      </c>
    </row>
    <row r="142" spans="1:24" ht="24.95" customHeight="1" x14ac:dyDescent="0.2">
      <c r="A142" s="22">
        <v>121</v>
      </c>
      <c r="B142" s="91" t="s">
        <v>466</v>
      </c>
      <c r="C142" s="92" t="s">
        <v>422</v>
      </c>
      <c r="D142" s="92" t="s">
        <v>275</v>
      </c>
      <c r="E142" s="92" t="s">
        <v>330</v>
      </c>
      <c r="F142" s="92" t="s">
        <v>227</v>
      </c>
      <c r="G142" s="62">
        <v>54.67</v>
      </c>
      <c r="H142" s="62"/>
      <c r="I142" s="62"/>
      <c r="J142" s="22" t="s">
        <v>265</v>
      </c>
      <c r="K142" s="22" t="s">
        <v>144</v>
      </c>
      <c r="L142" s="41">
        <f>VLOOKUP(K142,Reinigungstage!A10:K31,11,FALSE)</f>
        <v>1</v>
      </c>
      <c r="M142" s="41">
        <f t="shared" si="27"/>
        <v>54.67</v>
      </c>
      <c r="N142" s="93"/>
      <c r="O142" s="41"/>
      <c r="P142" s="41">
        <f t="shared" si="28"/>
        <v>0</v>
      </c>
      <c r="Q142" s="41">
        <f t="shared" si="29"/>
        <v>0</v>
      </c>
      <c r="R142" s="41">
        <f t="shared" si="30"/>
        <v>0</v>
      </c>
      <c r="S142" s="4" t="str">
        <f t="shared" si="31"/>
        <v>Leistungswert eintragen</v>
      </c>
      <c r="U142" s="4">
        <f t="shared" si="32"/>
        <v>14</v>
      </c>
      <c r="V142" s="4">
        <f t="shared" si="33"/>
        <v>4.2</v>
      </c>
      <c r="W142" s="4">
        <f t="shared" si="34"/>
        <v>18.2</v>
      </c>
      <c r="X142" s="4" t="str">
        <f t="shared" si="35"/>
        <v/>
      </c>
    </row>
    <row r="143" spans="1:24" ht="15" customHeight="1" x14ac:dyDescent="0.2">
      <c r="A143" s="22">
        <v>122</v>
      </c>
      <c r="B143" s="91" t="s">
        <v>467</v>
      </c>
      <c r="C143" s="92" t="s">
        <v>422</v>
      </c>
      <c r="D143" s="92" t="s">
        <v>275</v>
      </c>
      <c r="E143" s="92" t="s">
        <v>330</v>
      </c>
      <c r="F143" s="92" t="s">
        <v>227</v>
      </c>
      <c r="G143" s="62">
        <v>54.82</v>
      </c>
      <c r="H143" s="62"/>
      <c r="I143" s="62"/>
      <c r="J143" s="22" t="s">
        <v>265</v>
      </c>
      <c r="K143" s="22" t="s">
        <v>144</v>
      </c>
      <c r="L143" s="41">
        <f>VLOOKUP(K143,Reinigungstage!A10:K31,11,FALSE)</f>
        <v>1</v>
      </c>
      <c r="M143" s="41">
        <f t="shared" si="27"/>
        <v>54.82</v>
      </c>
      <c r="N143" s="93"/>
      <c r="O143" s="41"/>
      <c r="P143" s="41">
        <f t="shared" si="28"/>
        <v>0</v>
      </c>
      <c r="Q143" s="41">
        <f t="shared" si="29"/>
        <v>0</v>
      </c>
      <c r="R143" s="41">
        <f t="shared" si="30"/>
        <v>0</v>
      </c>
      <c r="S143" s="4" t="str">
        <f t="shared" si="31"/>
        <v>Leistungswert eintragen</v>
      </c>
      <c r="U143" s="4">
        <f t="shared" si="32"/>
        <v>14</v>
      </c>
      <c r="V143" s="4">
        <f t="shared" si="33"/>
        <v>4.2</v>
      </c>
      <c r="W143" s="4">
        <f t="shared" si="34"/>
        <v>18.2</v>
      </c>
      <c r="X143" s="4" t="str">
        <f t="shared" si="35"/>
        <v/>
      </c>
    </row>
    <row r="144" spans="1:24" ht="24.95" customHeight="1" x14ac:dyDescent="0.2">
      <c r="A144" s="22">
        <v>123</v>
      </c>
      <c r="B144" s="91" t="s">
        <v>468</v>
      </c>
      <c r="C144" s="92" t="s">
        <v>422</v>
      </c>
      <c r="D144" s="92" t="s">
        <v>275</v>
      </c>
      <c r="E144" s="92" t="s">
        <v>330</v>
      </c>
      <c r="F144" s="92" t="s">
        <v>227</v>
      </c>
      <c r="G144" s="62">
        <v>54.28</v>
      </c>
      <c r="H144" s="62"/>
      <c r="I144" s="62"/>
      <c r="J144" s="22" t="s">
        <v>265</v>
      </c>
      <c r="K144" s="22" t="s">
        <v>144</v>
      </c>
      <c r="L144" s="41">
        <f>VLOOKUP(K144,Reinigungstage!A10:K31,11,FALSE)</f>
        <v>1</v>
      </c>
      <c r="M144" s="41">
        <f t="shared" si="27"/>
        <v>54.28</v>
      </c>
      <c r="N144" s="93"/>
      <c r="O144" s="41"/>
      <c r="P144" s="41">
        <f t="shared" si="28"/>
        <v>0</v>
      </c>
      <c r="Q144" s="41">
        <f t="shared" si="29"/>
        <v>0</v>
      </c>
      <c r="R144" s="41">
        <f t="shared" si="30"/>
        <v>0</v>
      </c>
      <c r="S144" s="4" t="str">
        <f t="shared" si="31"/>
        <v>Leistungswert eintragen</v>
      </c>
      <c r="U144" s="4">
        <f t="shared" si="32"/>
        <v>14</v>
      </c>
      <c r="V144" s="4">
        <f t="shared" si="33"/>
        <v>4.2</v>
      </c>
      <c r="W144" s="4">
        <f t="shared" si="34"/>
        <v>18.2</v>
      </c>
      <c r="X144" s="4" t="str">
        <f t="shared" si="35"/>
        <v/>
      </c>
    </row>
    <row r="145" spans="1:24" ht="24.95" customHeight="1" x14ac:dyDescent="0.2">
      <c r="A145" s="22">
        <v>124</v>
      </c>
      <c r="B145" s="91" t="s">
        <v>469</v>
      </c>
      <c r="C145" s="92" t="s">
        <v>422</v>
      </c>
      <c r="D145" s="92" t="s">
        <v>275</v>
      </c>
      <c r="E145" s="92" t="s">
        <v>330</v>
      </c>
      <c r="F145" s="92" t="s">
        <v>227</v>
      </c>
      <c r="G145" s="62">
        <v>74.27</v>
      </c>
      <c r="H145" s="62"/>
      <c r="I145" s="62"/>
      <c r="J145" s="22" t="s">
        <v>265</v>
      </c>
      <c r="K145" s="22" t="s">
        <v>144</v>
      </c>
      <c r="L145" s="41">
        <f>VLOOKUP(K145,Reinigungstage!A10:K31,11,FALSE)</f>
        <v>1</v>
      </c>
      <c r="M145" s="41">
        <f t="shared" ref="M145:M158" si="36">ROUND(IF(L145=0,0,L145*G145),2)</f>
        <v>74.27</v>
      </c>
      <c r="N145" s="93"/>
      <c r="O145" s="41"/>
      <c r="P145" s="41">
        <f t="shared" ref="P145:P158" si="37">ROUND(IF(N145=0,0,M145/N145),2)</f>
        <v>0</v>
      </c>
      <c r="Q145" s="41">
        <f t="shared" ref="Q145:Q158" si="38">ROUND(IF(P145=0,0,P145*O145),2)</f>
        <v>0</v>
      </c>
      <c r="R145" s="41">
        <f t="shared" ref="R145:R158" si="39">ROUND(IF(P145=0,0,Q145/L145),2)</f>
        <v>0</v>
      </c>
      <c r="S145" s="4" t="str">
        <f t="shared" ref="S145:S158" si="40">IF(M145=0,"",IF(N145=0,"Leistungswert eintragen",IF(O145=0,"SVS prüfen","")))</f>
        <v>Leistungswert eintragen</v>
      </c>
      <c r="U145" s="4">
        <f t="shared" ref="U145:U158" si="41">VLOOKUP(J145,$U$4:$V$12,2,FALSE)</f>
        <v>14</v>
      </c>
      <c r="V145" s="4">
        <f t="shared" ref="V145:V158" si="42">U145*30%</f>
        <v>4.2</v>
      </c>
      <c r="W145" s="4">
        <f t="shared" ref="W145:W158" si="43">SUM(U145:V145)</f>
        <v>18.2</v>
      </c>
      <c r="X145" s="4" t="str">
        <f t="shared" ref="X145:X158" si="44">IF(N145=0,"",IF(W145&lt;N145,1,IF(W145&gt;=N145,0,"")))</f>
        <v/>
      </c>
    </row>
    <row r="146" spans="1:24" ht="15" customHeight="1" x14ac:dyDescent="0.2">
      <c r="A146" s="22">
        <v>125</v>
      </c>
      <c r="B146" s="91" t="s">
        <v>470</v>
      </c>
      <c r="C146" s="92" t="s">
        <v>422</v>
      </c>
      <c r="D146" s="92" t="s">
        <v>275</v>
      </c>
      <c r="E146" s="92" t="s">
        <v>337</v>
      </c>
      <c r="F146" s="92" t="s">
        <v>287</v>
      </c>
      <c r="G146" s="62">
        <v>113.77</v>
      </c>
      <c r="H146" s="62"/>
      <c r="I146" s="62"/>
      <c r="J146" s="22" t="s">
        <v>264</v>
      </c>
      <c r="K146" s="22" t="s">
        <v>144</v>
      </c>
      <c r="L146" s="41">
        <f>VLOOKUP(K146,Reinigungstage!A10:K31,11,FALSE)</f>
        <v>1</v>
      </c>
      <c r="M146" s="41">
        <f t="shared" si="36"/>
        <v>113.77</v>
      </c>
      <c r="N146" s="93"/>
      <c r="O146" s="41"/>
      <c r="P146" s="41">
        <f t="shared" si="37"/>
        <v>0</v>
      </c>
      <c r="Q146" s="41">
        <f t="shared" si="38"/>
        <v>0</v>
      </c>
      <c r="R146" s="41">
        <f t="shared" si="39"/>
        <v>0</v>
      </c>
      <c r="S146" s="4" t="str">
        <f t="shared" si="40"/>
        <v>Leistungswert eintragen</v>
      </c>
      <c r="U146" s="4">
        <f t="shared" si="41"/>
        <v>24</v>
      </c>
      <c r="V146" s="4">
        <f t="shared" si="42"/>
        <v>7.1999999999999993</v>
      </c>
      <c r="W146" s="4">
        <f t="shared" si="43"/>
        <v>31.2</v>
      </c>
      <c r="X146" s="4" t="str">
        <f t="shared" si="44"/>
        <v/>
      </c>
    </row>
    <row r="147" spans="1:24" ht="15" customHeight="1" x14ac:dyDescent="0.2">
      <c r="A147" s="22">
        <v>126</v>
      </c>
      <c r="B147" s="91" t="s">
        <v>471</v>
      </c>
      <c r="C147" s="92" t="s">
        <v>422</v>
      </c>
      <c r="D147" s="92" t="s">
        <v>275</v>
      </c>
      <c r="E147" s="92" t="s">
        <v>472</v>
      </c>
      <c r="F147" s="92" t="s">
        <v>227</v>
      </c>
      <c r="G147" s="62">
        <v>76.25</v>
      </c>
      <c r="H147" s="62"/>
      <c r="I147" s="62"/>
      <c r="J147" s="22" t="s">
        <v>265</v>
      </c>
      <c r="K147" s="22" t="s">
        <v>144</v>
      </c>
      <c r="L147" s="41">
        <f>VLOOKUP(K147,Reinigungstage!A10:K31,11,FALSE)</f>
        <v>1</v>
      </c>
      <c r="M147" s="41">
        <f t="shared" si="36"/>
        <v>76.25</v>
      </c>
      <c r="N147" s="93"/>
      <c r="O147" s="41"/>
      <c r="P147" s="41">
        <f t="shared" si="37"/>
        <v>0</v>
      </c>
      <c r="Q147" s="41">
        <f t="shared" si="38"/>
        <v>0</v>
      </c>
      <c r="R147" s="41">
        <f t="shared" si="39"/>
        <v>0</v>
      </c>
      <c r="S147" s="4" t="str">
        <f t="shared" si="40"/>
        <v>Leistungswert eintragen</v>
      </c>
      <c r="U147" s="4">
        <f t="shared" si="41"/>
        <v>14</v>
      </c>
      <c r="V147" s="4">
        <f t="shared" si="42"/>
        <v>4.2</v>
      </c>
      <c r="W147" s="4">
        <f t="shared" si="43"/>
        <v>18.2</v>
      </c>
      <c r="X147" s="4" t="str">
        <f t="shared" si="44"/>
        <v/>
      </c>
    </row>
    <row r="148" spans="1:24" ht="15" customHeight="1" x14ac:dyDescent="0.2">
      <c r="A148" s="22">
        <v>127</v>
      </c>
      <c r="B148" s="91" t="s">
        <v>473</v>
      </c>
      <c r="C148" s="92" t="s">
        <v>422</v>
      </c>
      <c r="D148" s="92" t="s">
        <v>275</v>
      </c>
      <c r="E148" s="92" t="s">
        <v>341</v>
      </c>
      <c r="F148" s="92" t="s">
        <v>287</v>
      </c>
      <c r="G148" s="62">
        <v>59.71</v>
      </c>
      <c r="H148" s="62"/>
      <c r="I148" s="62"/>
      <c r="J148" s="22" t="s">
        <v>270</v>
      </c>
      <c r="K148" s="22" t="s">
        <v>144</v>
      </c>
      <c r="L148" s="41">
        <f>VLOOKUP(K148,Reinigungstage!A10:K31,11,FALSE)</f>
        <v>1</v>
      </c>
      <c r="M148" s="41">
        <f t="shared" si="36"/>
        <v>59.71</v>
      </c>
      <c r="N148" s="93"/>
      <c r="O148" s="41"/>
      <c r="P148" s="41">
        <f t="shared" si="37"/>
        <v>0</v>
      </c>
      <c r="Q148" s="41">
        <f t="shared" si="38"/>
        <v>0</v>
      </c>
      <c r="R148" s="41">
        <f t="shared" si="39"/>
        <v>0</v>
      </c>
      <c r="S148" s="4" t="str">
        <f t="shared" si="40"/>
        <v>Leistungswert eintragen</v>
      </c>
      <c r="U148" s="4">
        <f t="shared" si="41"/>
        <v>14</v>
      </c>
      <c r="V148" s="4">
        <f t="shared" si="42"/>
        <v>4.2</v>
      </c>
      <c r="W148" s="4">
        <f t="shared" si="43"/>
        <v>18.2</v>
      </c>
      <c r="X148" s="4" t="str">
        <f t="shared" si="44"/>
        <v/>
      </c>
    </row>
    <row r="149" spans="1:24" ht="15" customHeight="1" x14ac:dyDescent="0.2">
      <c r="A149" s="22">
        <v>128</v>
      </c>
      <c r="B149" s="91" t="s">
        <v>474</v>
      </c>
      <c r="C149" s="92" t="s">
        <v>422</v>
      </c>
      <c r="D149" s="92" t="s">
        <v>275</v>
      </c>
      <c r="E149" s="92" t="s">
        <v>475</v>
      </c>
      <c r="F149" s="92" t="s">
        <v>227</v>
      </c>
      <c r="G149" s="62">
        <v>26.95</v>
      </c>
      <c r="H149" s="62"/>
      <c r="I149" s="62"/>
      <c r="J149" s="22" t="s">
        <v>266</v>
      </c>
      <c r="K149" s="22" t="s">
        <v>144</v>
      </c>
      <c r="L149" s="41">
        <f>VLOOKUP(K149,Reinigungstage!A10:K31,11,FALSE)</f>
        <v>1</v>
      </c>
      <c r="M149" s="41">
        <f t="shared" si="36"/>
        <v>26.95</v>
      </c>
      <c r="N149" s="93"/>
      <c r="O149" s="41"/>
      <c r="P149" s="41">
        <f t="shared" si="37"/>
        <v>0</v>
      </c>
      <c r="Q149" s="41">
        <f t="shared" si="38"/>
        <v>0</v>
      </c>
      <c r="R149" s="41">
        <f t="shared" si="39"/>
        <v>0</v>
      </c>
      <c r="S149" s="4" t="str">
        <f t="shared" si="40"/>
        <v>Leistungswert eintragen</v>
      </c>
      <c r="U149" s="4">
        <f t="shared" si="41"/>
        <v>15</v>
      </c>
      <c r="V149" s="4">
        <f t="shared" si="42"/>
        <v>4.5</v>
      </c>
      <c r="W149" s="4">
        <f t="shared" si="43"/>
        <v>19.5</v>
      </c>
      <c r="X149" s="4" t="str">
        <f t="shared" si="44"/>
        <v/>
      </c>
    </row>
    <row r="150" spans="1:24" ht="15" customHeight="1" x14ac:dyDescent="0.2">
      <c r="A150" s="22">
        <v>129</v>
      </c>
      <c r="B150" s="91" t="s">
        <v>476</v>
      </c>
      <c r="C150" s="92" t="s">
        <v>422</v>
      </c>
      <c r="D150" s="92" t="s">
        <v>275</v>
      </c>
      <c r="E150" s="92" t="s">
        <v>477</v>
      </c>
      <c r="F150" s="92" t="s">
        <v>227</v>
      </c>
      <c r="G150" s="62">
        <v>75.180000000000007</v>
      </c>
      <c r="H150" s="62"/>
      <c r="I150" s="62"/>
      <c r="J150" s="22" t="s">
        <v>265</v>
      </c>
      <c r="K150" s="22" t="s">
        <v>144</v>
      </c>
      <c r="L150" s="41">
        <f>VLOOKUP(K150,Reinigungstage!A10:K31,11,FALSE)</f>
        <v>1</v>
      </c>
      <c r="M150" s="41">
        <f t="shared" si="36"/>
        <v>75.180000000000007</v>
      </c>
      <c r="N150" s="93"/>
      <c r="O150" s="41"/>
      <c r="P150" s="41">
        <f t="shared" si="37"/>
        <v>0</v>
      </c>
      <c r="Q150" s="41">
        <f t="shared" si="38"/>
        <v>0</v>
      </c>
      <c r="R150" s="41">
        <f t="shared" si="39"/>
        <v>0</v>
      </c>
      <c r="S150" s="4" t="str">
        <f t="shared" si="40"/>
        <v>Leistungswert eintragen</v>
      </c>
      <c r="U150" s="4">
        <f t="shared" si="41"/>
        <v>14</v>
      </c>
      <c r="V150" s="4">
        <f t="shared" si="42"/>
        <v>4.2</v>
      </c>
      <c r="W150" s="4">
        <f t="shared" si="43"/>
        <v>18.2</v>
      </c>
      <c r="X150" s="4" t="str">
        <f t="shared" si="44"/>
        <v/>
      </c>
    </row>
    <row r="151" spans="1:24" ht="15" customHeight="1" x14ac:dyDescent="0.2">
      <c r="A151" s="22">
        <v>130</v>
      </c>
      <c r="B151" s="91" t="s">
        <v>478</v>
      </c>
      <c r="C151" s="92" t="s">
        <v>422</v>
      </c>
      <c r="D151" s="92" t="s">
        <v>275</v>
      </c>
      <c r="E151" s="92" t="s">
        <v>479</v>
      </c>
      <c r="F151" s="92" t="s">
        <v>227</v>
      </c>
      <c r="G151" s="62">
        <v>75.180000000000007</v>
      </c>
      <c r="H151" s="62"/>
      <c r="I151" s="62"/>
      <c r="J151" s="22" t="s">
        <v>265</v>
      </c>
      <c r="K151" s="22" t="s">
        <v>144</v>
      </c>
      <c r="L151" s="41">
        <f>VLOOKUP(K151,Reinigungstage!A10:K31,11,FALSE)</f>
        <v>1</v>
      </c>
      <c r="M151" s="41">
        <f t="shared" si="36"/>
        <v>75.180000000000007</v>
      </c>
      <c r="N151" s="93"/>
      <c r="O151" s="41"/>
      <c r="P151" s="41">
        <f t="shared" si="37"/>
        <v>0</v>
      </c>
      <c r="Q151" s="41">
        <f t="shared" si="38"/>
        <v>0</v>
      </c>
      <c r="R151" s="41">
        <f t="shared" si="39"/>
        <v>0</v>
      </c>
      <c r="S151" s="4" t="str">
        <f t="shared" si="40"/>
        <v>Leistungswert eintragen</v>
      </c>
      <c r="U151" s="4">
        <f t="shared" si="41"/>
        <v>14</v>
      </c>
      <c r="V151" s="4">
        <f t="shared" si="42"/>
        <v>4.2</v>
      </c>
      <c r="W151" s="4">
        <f t="shared" si="43"/>
        <v>18.2</v>
      </c>
      <c r="X151" s="4" t="str">
        <f t="shared" si="44"/>
        <v/>
      </c>
    </row>
    <row r="152" spans="1:24" ht="15" customHeight="1" x14ac:dyDescent="0.2">
      <c r="A152" s="22">
        <v>131</v>
      </c>
      <c r="B152" s="91" t="s">
        <v>480</v>
      </c>
      <c r="C152" s="92" t="s">
        <v>422</v>
      </c>
      <c r="D152" s="92" t="s">
        <v>275</v>
      </c>
      <c r="E152" s="92" t="s">
        <v>347</v>
      </c>
      <c r="F152" s="92" t="s">
        <v>287</v>
      </c>
      <c r="G152" s="62">
        <v>44.92</v>
      </c>
      <c r="H152" s="62"/>
      <c r="I152" s="62"/>
      <c r="J152" s="22" t="s">
        <v>270</v>
      </c>
      <c r="K152" s="22" t="s">
        <v>144</v>
      </c>
      <c r="L152" s="41">
        <f>VLOOKUP(K152,Reinigungstage!A10:K31,11,FALSE)</f>
        <v>1</v>
      </c>
      <c r="M152" s="41">
        <f t="shared" si="36"/>
        <v>44.92</v>
      </c>
      <c r="N152" s="93"/>
      <c r="O152" s="41"/>
      <c r="P152" s="41">
        <f t="shared" si="37"/>
        <v>0</v>
      </c>
      <c r="Q152" s="41">
        <f t="shared" si="38"/>
        <v>0</v>
      </c>
      <c r="R152" s="41">
        <f t="shared" si="39"/>
        <v>0</v>
      </c>
      <c r="S152" s="4" t="str">
        <f t="shared" si="40"/>
        <v>Leistungswert eintragen</v>
      </c>
      <c r="U152" s="4">
        <f t="shared" si="41"/>
        <v>14</v>
      </c>
      <c r="V152" s="4">
        <f t="shared" si="42"/>
        <v>4.2</v>
      </c>
      <c r="W152" s="4">
        <f t="shared" si="43"/>
        <v>18.2</v>
      </c>
      <c r="X152" s="4" t="str">
        <f t="shared" si="44"/>
        <v/>
      </c>
    </row>
    <row r="153" spans="1:24" ht="15" customHeight="1" x14ac:dyDescent="0.2">
      <c r="A153" s="22">
        <v>132</v>
      </c>
      <c r="B153" s="91" t="s">
        <v>481</v>
      </c>
      <c r="C153" s="92" t="s">
        <v>422</v>
      </c>
      <c r="D153" s="92" t="s">
        <v>275</v>
      </c>
      <c r="E153" s="92" t="s">
        <v>475</v>
      </c>
      <c r="F153" s="92" t="s">
        <v>227</v>
      </c>
      <c r="G153" s="62">
        <v>26.95</v>
      </c>
      <c r="H153" s="62"/>
      <c r="I153" s="62"/>
      <c r="J153" s="22" t="s">
        <v>266</v>
      </c>
      <c r="K153" s="22" t="s">
        <v>144</v>
      </c>
      <c r="L153" s="41">
        <f>VLOOKUP(K153,Reinigungstage!A10:K31,11,FALSE)</f>
        <v>1</v>
      </c>
      <c r="M153" s="41">
        <f t="shared" si="36"/>
        <v>26.95</v>
      </c>
      <c r="N153" s="93"/>
      <c r="O153" s="41"/>
      <c r="P153" s="41">
        <f t="shared" si="37"/>
        <v>0</v>
      </c>
      <c r="Q153" s="41">
        <f t="shared" si="38"/>
        <v>0</v>
      </c>
      <c r="R153" s="41">
        <f t="shared" si="39"/>
        <v>0</v>
      </c>
      <c r="S153" s="4" t="str">
        <f t="shared" si="40"/>
        <v>Leistungswert eintragen</v>
      </c>
      <c r="U153" s="4">
        <f t="shared" si="41"/>
        <v>15</v>
      </c>
      <c r="V153" s="4">
        <f t="shared" si="42"/>
        <v>4.5</v>
      </c>
      <c r="W153" s="4">
        <f t="shared" si="43"/>
        <v>19.5</v>
      </c>
      <c r="X153" s="4" t="str">
        <f t="shared" si="44"/>
        <v/>
      </c>
    </row>
    <row r="154" spans="1:24" ht="15" customHeight="1" x14ac:dyDescent="0.2">
      <c r="A154" s="22">
        <v>133</v>
      </c>
      <c r="B154" s="91" t="s">
        <v>482</v>
      </c>
      <c r="C154" s="92" t="s">
        <v>422</v>
      </c>
      <c r="D154" s="92" t="s">
        <v>275</v>
      </c>
      <c r="E154" s="92" t="s">
        <v>483</v>
      </c>
      <c r="F154" s="92" t="s">
        <v>227</v>
      </c>
      <c r="G154" s="62">
        <v>75.180000000000007</v>
      </c>
      <c r="H154" s="62"/>
      <c r="I154" s="62"/>
      <c r="J154" s="22" t="s">
        <v>265</v>
      </c>
      <c r="K154" s="22" t="s">
        <v>144</v>
      </c>
      <c r="L154" s="41">
        <f>VLOOKUP(K154,Reinigungstage!A10:K31,11,FALSE)</f>
        <v>1</v>
      </c>
      <c r="M154" s="41">
        <f t="shared" si="36"/>
        <v>75.180000000000007</v>
      </c>
      <c r="N154" s="93"/>
      <c r="O154" s="41"/>
      <c r="P154" s="41">
        <f t="shared" si="37"/>
        <v>0</v>
      </c>
      <c r="Q154" s="41">
        <f t="shared" si="38"/>
        <v>0</v>
      </c>
      <c r="R154" s="41">
        <f t="shared" si="39"/>
        <v>0</v>
      </c>
      <c r="S154" s="4" t="str">
        <f t="shared" si="40"/>
        <v>Leistungswert eintragen</v>
      </c>
      <c r="U154" s="4">
        <f t="shared" si="41"/>
        <v>14</v>
      </c>
      <c r="V154" s="4">
        <f t="shared" si="42"/>
        <v>4.2</v>
      </c>
      <c r="W154" s="4">
        <f t="shared" si="43"/>
        <v>18.2</v>
      </c>
      <c r="X154" s="4" t="str">
        <f t="shared" si="44"/>
        <v/>
      </c>
    </row>
    <row r="155" spans="1:24" ht="15" customHeight="1" x14ac:dyDescent="0.2">
      <c r="A155" s="22">
        <v>134</v>
      </c>
      <c r="B155" s="91" t="s">
        <v>484</v>
      </c>
      <c r="C155" s="92" t="s">
        <v>422</v>
      </c>
      <c r="D155" s="92" t="s">
        <v>275</v>
      </c>
      <c r="E155" s="92" t="s">
        <v>485</v>
      </c>
      <c r="F155" s="92" t="s">
        <v>227</v>
      </c>
      <c r="G155" s="62">
        <v>75.180000000000007</v>
      </c>
      <c r="H155" s="62"/>
      <c r="I155" s="62"/>
      <c r="J155" s="22" t="s">
        <v>265</v>
      </c>
      <c r="K155" s="22" t="s">
        <v>144</v>
      </c>
      <c r="L155" s="41">
        <f>VLOOKUP(K155,Reinigungstage!A10:K31,11,FALSE)</f>
        <v>1</v>
      </c>
      <c r="M155" s="41">
        <f t="shared" si="36"/>
        <v>75.180000000000007</v>
      </c>
      <c r="N155" s="93"/>
      <c r="O155" s="41"/>
      <c r="P155" s="41">
        <f t="shared" si="37"/>
        <v>0</v>
      </c>
      <c r="Q155" s="41">
        <f t="shared" si="38"/>
        <v>0</v>
      </c>
      <c r="R155" s="41">
        <f t="shared" si="39"/>
        <v>0</v>
      </c>
      <c r="S155" s="4" t="str">
        <f t="shared" si="40"/>
        <v>Leistungswert eintragen</v>
      </c>
      <c r="U155" s="4">
        <f t="shared" si="41"/>
        <v>14</v>
      </c>
      <c r="V155" s="4">
        <f t="shared" si="42"/>
        <v>4.2</v>
      </c>
      <c r="W155" s="4">
        <f t="shared" si="43"/>
        <v>18.2</v>
      </c>
      <c r="X155" s="4" t="str">
        <f t="shared" si="44"/>
        <v/>
      </c>
    </row>
    <row r="156" spans="1:24" ht="15" customHeight="1" x14ac:dyDescent="0.2">
      <c r="A156" s="22">
        <v>135</v>
      </c>
      <c r="B156" s="91" t="s">
        <v>486</v>
      </c>
      <c r="C156" s="92" t="s">
        <v>422</v>
      </c>
      <c r="D156" s="92" t="s">
        <v>275</v>
      </c>
      <c r="E156" s="92" t="s">
        <v>487</v>
      </c>
      <c r="F156" s="92" t="s">
        <v>227</v>
      </c>
      <c r="G156" s="62">
        <v>26.95</v>
      </c>
      <c r="H156" s="62"/>
      <c r="I156" s="62"/>
      <c r="J156" s="22" t="s">
        <v>266</v>
      </c>
      <c r="K156" s="22" t="s">
        <v>144</v>
      </c>
      <c r="L156" s="41">
        <f>VLOOKUP(K156,Reinigungstage!A10:K31,11,FALSE)</f>
        <v>1</v>
      </c>
      <c r="M156" s="41">
        <f t="shared" si="36"/>
        <v>26.95</v>
      </c>
      <c r="N156" s="93"/>
      <c r="O156" s="41"/>
      <c r="P156" s="41">
        <f t="shared" si="37"/>
        <v>0</v>
      </c>
      <c r="Q156" s="41">
        <f t="shared" si="38"/>
        <v>0</v>
      </c>
      <c r="R156" s="41">
        <f t="shared" si="39"/>
        <v>0</v>
      </c>
      <c r="S156" s="4" t="str">
        <f t="shared" si="40"/>
        <v>Leistungswert eintragen</v>
      </c>
      <c r="U156" s="4">
        <f t="shared" si="41"/>
        <v>15</v>
      </c>
      <c r="V156" s="4">
        <f t="shared" si="42"/>
        <v>4.5</v>
      </c>
      <c r="W156" s="4">
        <f t="shared" si="43"/>
        <v>19.5</v>
      </c>
      <c r="X156" s="4" t="str">
        <f t="shared" si="44"/>
        <v/>
      </c>
    </row>
    <row r="157" spans="1:24" ht="15" customHeight="1" x14ac:dyDescent="0.2">
      <c r="A157" s="22">
        <v>136</v>
      </c>
      <c r="B157" s="91" t="s">
        <v>488</v>
      </c>
      <c r="C157" s="92" t="s">
        <v>422</v>
      </c>
      <c r="D157" s="92" t="s">
        <v>275</v>
      </c>
      <c r="E157" s="92" t="s">
        <v>489</v>
      </c>
      <c r="F157" s="92" t="s">
        <v>227</v>
      </c>
      <c r="G157" s="62">
        <v>75.180000000000007</v>
      </c>
      <c r="H157" s="62"/>
      <c r="I157" s="62"/>
      <c r="J157" s="22" t="s">
        <v>265</v>
      </c>
      <c r="K157" s="22" t="s">
        <v>144</v>
      </c>
      <c r="L157" s="41">
        <f>VLOOKUP(K157,Reinigungstage!A10:K31,11,FALSE)</f>
        <v>1</v>
      </c>
      <c r="M157" s="41">
        <f t="shared" si="36"/>
        <v>75.180000000000007</v>
      </c>
      <c r="N157" s="93"/>
      <c r="O157" s="41"/>
      <c r="P157" s="41">
        <f t="shared" si="37"/>
        <v>0</v>
      </c>
      <c r="Q157" s="41">
        <f t="shared" si="38"/>
        <v>0</v>
      </c>
      <c r="R157" s="41">
        <f t="shared" si="39"/>
        <v>0</v>
      </c>
      <c r="S157" s="4" t="str">
        <f t="shared" si="40"/>
        <v>Leistungswert eintragen</v>
      </c>
      <c r="U157" s="4">
        <f t="shared" si="41"/>
        <v>14</v>
      </c>
      <c r="V157" s="4">
        <f t="shared" si="42"/>
        <v>4.2</v>
      </c>
      <c r="W157" s="4">
        <f t="shared" si="43"/>
        <v>18.2</v>
      </c>
      <c r="X157" s="4" t="str">
        <f t="shared" si="44"/>
        <v/>
      </c>
    </row>
    <row r="158" spans="1:24" ht="24.95" customHeight="1" x14ac:dyDescent="0.2">
      <c r="A158" s="22">
        <v>137</v>
      </c>
      <c r="B158" s="91" t="s">
        <v>490</v>
      </c>
      <c r="C158" s="92" t="s">
        <v>422</v>
      </c>
      <c r="D158" s="92" t="s">
        <v>275</v>
      </c>
      <c r="E158" s="92" t="s">
        <v>491</v>
      </c>
      <c r="F158" s="92" t="s">
        <v>492</v>
      </c>
      <c r="G158" s="62">
        <v>133.43</v>
      </c>
      <c r="H158" s="62"/>
      <c r="I158" s="62"/>
      <c r="J158" s="22" t="s">
        <v>264</v>
      </c>
      <c r="K158" s="22" t="s">
        <v>144</v>
      </c>
      <c r="L158" s="41">
        <f>VLOOKUP(K158,Reinigungstage!A10:K31,11,FALSE)</f>
        <v>1</v>
      </c>
      <c r="M158" s="41">
        <f t="shared" si="36"/>
        <v>133.43</v>
      </c>
      <c r="N158" s="93"/>
      <c r="O158" s="41"/>
      <c r="P158" s="41">
        <f t="shared" si="37"/>
        <v>0</v>
      </c>
      <c r="Q158" s="41">
        <f t="shared" si="38"/>
        <v>0</v>
      </c>
      <c r="R158" s="41">
        <f t="shared" si="39"/>
        <v>0</v>
      </c>
      <c r="S158" s="4" t="str">
        <f t="shared" si="40"/>
        <v>Leistungswert eintragen</v>
      </c>
      <c r="U158" s="4">
        <f t="shared" si="41"/>
        <v>24</v>
      </c>
      <c r="V158" s="4">
        <f t="shared" si="42"/>
        <v>7.1999999999999993</v>
      </c>
      <c r="W158" s="4">
        <f t="shared" si="43"/>
        <v>31.2</v>
      </c>
      <c r="X158" s="4" t="str">
        <f t="shared" si="44"/>
        <v/>
      </c>
    </row>
  </sheetData>
  <sortState xmlns:xlrd2="http://schemas.microsoft.com/office/spreadsheetml/2017/richdata2" ref="U4:U12">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55"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54" priority="5" operator="containsText" text="Bitte prüfen Sie diese.">
      <formula>NOT(ISERROR(SEARCH("Bitte prüfen Sie diese.",L9)))</formula>
    </cfRule>
  </conditionalFormatting>
  <conditionalFormatting sqref="L10">
    <cfRule type="containsText" dxfId="53"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52" priority="3" operator="containsText" text="lediglich Fehleingaben vermeiden wollen.">
      <formula>NOT(ISERROR(SEARCH("lediglich Fehleingaben vermeiden wollen.",L11)))</formula>
    </cfRule>
  </conditionalFormatting>
  <conditionalFormatting sqref="M11">
    <cfRule type="containsText" dxfId="51"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50" priority="2" stopIfTrue="1">
      <formula>N13=0</formula>
    </cfRule>
  </conditionalFormatting>
  <conditionalFormatting sqref="N14">
    <cfRule type="expression" dxfId="49" priority="1">
      <formula>N14=0</formula>
    </cfRule>
  </conditionalFormatting>
  <conditionalFormatting sqref="O13">
    <cfRule type="containsText" dxfId="48"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47" priority="8" operator="containsText" text="Wert(e) prüfen.">
      <formula>NOT(ISERROR(SEARCH("Wert(e) prüfen.",O14)))</formula>
    </cfRule>
  </conditionalFormatting>
  <conditionalFormatting sqref="S22:S158">
    <cfRule type="containsText" dxfId="46" priority="12" stopIfTrue="1" operator="containsText" text="SVS prüfen">
      <formula>NOT(ISERROR(SEARCH("SVS prüfen",S22)))</formula>
    </cfRule>
    <cfRule type="containsText" dxfId="45" priority="13" stopIfTrue="1" operator="containsText" text="Leistungswert eintragen">
      <formula>NOT(ISERROR(SEARCH("Leistungswert eintragen",S22)))</formula>
    </cfRule>
  </conditionalFormatting>
  <hyperlinks>
    <hyperlink ref="M1" location="Inhaltsverzeichnis!A1" display="Zurück zum Inhaltsverzeichnis" xr:uid="{00000000-0004-0000-09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PvH grSchulgeb&amp;LAmt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98306"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98307"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98308"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FF66"/>
  </sheetPr>
  <dimension ref="A1:U70"/>
  <sheetViews>
    <sheetView showGridLines="0" zoomScaleNormal="100" workbookViewId="0">
      <pane ySplit="21" topLeftCell="A64" activePane="bottomLeft" state="frozen"/>
      <selection pane="bottomLeft" activeCell="E57" sqref="E57"/>
    </sheetView>
  </sheetViews>
  <sheetFormatPr baseColWidth="10" defaultColWidth="0" defaultRowHeight="15" customHeight="1" x14ac:dyDescent="0.2"/>
  <cols>
    <col min="1" max="1" width="11.7109375" style="4" customWidth="1"/>
    <col min="2" max="2" width="7.7109375" style="4" customWidth="1"/>
    <col min="3" max="3" width="5.7109375" style="4" customWidth="1"/>
    <col min="4" max="4" width="8.28515625" style="4" customWidth="1"/>
    <col min="5" max="5" width="21.7109375" style="4" customWidth="1"/>
    <col min="6" max="6" width="13.5703125" style="4" bestFit="1" customWidth="1"/>
    <col min="7" max="7" width="10.7109375" style="4" customWidth="1"/>
    <col min="8" max="8" width="9.7109375" style="4" customWidth="1"/>
    <col min="9" max="9" width="11.7109375" style="4" customWidth="1"/>
    <col min="10" max="10" width="10.5703125" style="4" bestFit="1" customWidth="1"/>
    <col min="11" max="11" width="7.85546875" style="4" customWidth="1"/>
    <col min="12" max="12" width="8.7109375" style="4" customWidth="1"/>
    <col min="13" max="13" width="12.140625" style="4" customWidth="1"/>
    <col min="14" max="14" width="9.42578125" style="4" customWidth="1"/>
    <col min="15" max="15" width="8.42578125" style="4" customWidth="1"/>
    <col min="16" max="17" width="11.42578125" style="4" customWidth="1"/>
    <col min="18" max="19" width="11.28515625" style="4" customWidth="1"/>
    <col min="20" max="20" width="22.28515625" style="4" customWidth="1"/>
    <col min="21" max="21" width="0" style="4" hidden="1" customWidth="1"/>
    <col min="22" max="16384" width="11.42578125" style="4" hidden="1"/>
  </cols>
  <sheetData>
    <row r="1" spans="1:21" ht="15" customHeight="1" x14ac:dyDescent="0.2">
      <c r="M1" s="6" t="s">
        <v>100</v>
      </c>
    </row>
    <row r="2" spans="1:21" ht="21" customHeight="1" x14ac:dyDescent="0.2">
      <c r="A2" s="174" t="s">
        <v>158</v>
      </c>
      <c r="B2" s="175"/>
      <c r="C2" s="175"/>
      <c r="D2" s="175" t="b">
        <v>0</v>
      </c>
      <c r="E2" s="176"/>
      <c r="G2" s="177" t="s">
        <v>171</v>
      </c>
      <c r="H2" s="177" t="s">
        <v>163</v>
      </c>
      <c r="I2" s="177" t="s">
        <v>164</v>
      </c>
      <c r="J2" s="177" t="s">
        <v>183</v>
      </c>
      <c r="M2" s="42" t="b">
        <v>0</v>
      </c>
      <c r="N2" s="150"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50"/>
      <c r="P2" s="150"/>
      <c r="Q2" s="150"/>
    </row>
    <row r="3" spans="1:21" ht="21" customHeight="1" x14ac:dyDescent="0.2">
      <c r="A3" s="81" t="s">
        <v>159</v>
      </c>
      <c r="B3" s="82"/>
      <c r="C3" s="82"/>
      <c r="D3" s="82"/>
      <c r="E3" s="83"/>
      <c r="G3" s="178"/>
      <c r="H3" s="178" t="b">
        <v>0</v>
      </c>
      <c r="I3" s="178"/>
      <c r="J3" s="178"/>
      <c r="M3" s="42" t="b">
        <v>0</v>
      </c>
      <c r="N3" s="150"/>
      <c r="O3" s="150"/>
      <c r="P3" s="150"/>
      <c r="Q3" s="150"/>
    </row>
    <row r="4" spans="1:21" ht="15" customHeight="1" x14ac:dyDescent="0.2">
      <c r="A4" s="172" t="s">
        <v>91</v>
      </c>
      <c r="B4" s="182"/>
      <c r="C4" s="183"/>
      <c r="D4" s="183"/>
      <c r="E4" s="184"/>
      <c r="G4" s="22" t="s">
        <v>266</v>
      </c>
      <c r="H4" s="84"/>
      <c r="I4" s="85">
        <f ca="1">SUMIF('Kal Unter PvH SH'!J22:M70,$G$4,'Kal Unter PvH SH'!M22:M70)</f>
        <v>12291.89</v>
      </c>
      <c r="J4" s="60">
        <f>COUNTIFS('Kal Unter PvH SH'!J22:M70,$G$4)</f>
        <v>1</v>
      </c>
      <c r="M4" s="42" t="b">
        <v>0</v>
      </c>
      <c r="N4" s="150"/>
      <c r="O4" s="150"/>
      <c r="P4" s="150"/>
      <c r="Q4" s="150"/>
      <c r="U4" s="22" t="s">
        <v>266</v>
      </c>
    </row>
    <row r="5" spans="1:21" ht="15" customHeight="1" x14ac:dyDescent="0.2">
      <c r="A5" s="173"/>
      <c r="B5" s="185"/>
      <c r="C5" s="186"/>
      <c r="D5" s="186"/>
      <c r="E5" s="187"/>
      <c r="G5" s="22" t="s">
        <v>267</v>
      </c>
      <c r="H5" s="84"/>
      <c r="I5" s="85">
        <f ca="1">SUMIF('Kal Unter PvH SH'!J22:M70,$G$5,'Kal Unter PvH SH'!M22:M70)</f>
        <v>13468.480000000003</v>
      </c>
      <c r="J5" s="60">
        <f>COUNTIFS('Kal Unter PvH SH'!J22:M70,$G$5)</f>
        <v>20</v>
      </c>
      <c r="M5" s="42" t="b">
        <v>0</v>
      </c>
      <c r="N5" s="150"/>
      <c r="O5" s="150"/>
      <c r="P5" s="150"/>
      <c r="Q5" s="150"/>
      <c r="U5" s="22" t="s">
        <v>267</v>
      </c>
    </row>
    <row r="6" spans="1:21" ht="15" customHeight="1" x14ac:dyDescent="0.2">
      <c r="A6" s="143" t="s">
        <v>181</v>
      </c>
      <c r="B6" s="188" t="s">
        <v>204</v>
      </c>
      <c r="C6" s="189"/>
      <c r="D6" s="189"/>
      <c r="E6" s="190"/>
      <c r="G6" s="22" t="s">
        <v>542</v>
      </c>
      <c r="H6" s="84"/>
      <c r="I6" s="85">
        <f ca="1">SUMIF('Kal Unter PvH SH'!J22:M70,$G$6,'Kal Unter PvH SH'!M22:M70)</f>
        <v>103646.25</v>
      </c>
      <c r="J6" s="60">
        <f>COUNTIFS('Kal Unter PvH SH'!J22:M70,$G$6)</f>
        <v>1</v>
      </c>
      <c r="U6" s="22" t="s">
        <v>542</v>
      </c>
    </row>
    <row r="7" spans="1:21" ht="15" customHeight="1" x14ac:dyDescent="0.2">
      <c r="A7" s="87" t="s">
        <v>179</v>
      </c>
      <c r="B7" s="191" t="s">
        <v>205</v>
      </c>
      <c r="C7" s="192"/>
      <c r="D7" s="192"/>
      <c r="E7" s="193"/>
      <c r="G7" s="22" t="s">
        <v>268</v>
      </c>
      <c r="H7" s="84"/>
      <c r="I7" s="85">
        <f ca="1">SUMIF('Kal Unter PvH SH'!J22:M70,$G$7,'Kal Unter PvH SH'!M22:M70)</f>
        <v>544.12</v>
      </c>
      <c r="J7" s="60">
        <f>COUNTIFS('Kal Unter PvH SH'!J22:M70,$G$7)</f>
        <v>8</v>
      </c>
      <c r="U7" s="22" t="s">
        <v>268</v>
      </c>
    </row>
    <row r="8" spans="1:21" ht="15" customHeight="1" x14ac:dyDescent="0.2">
      <c r="A8" s="87" t="s">
        <v>180</v>
      </c>
      <c r="B8" s="194" t="s">
        <v>215</v>
      </c>
      <c r="C8" s="192"/>
      <c r="D8" s="192"/>
      <c r="E8" s="193"/>
      <c r="G8" s="22" t="s">
        <v>270</v>
      </c>
      <c r="H8" s="84"/>
      <c r="I8" s="85">
        <f ca="1">SUMIF('Kal Unter PvH SH'!J22:M70,$G$8,'Kal Unter PvH SH'!M22:M70)</f>
        <v>596.66999999999996</v>
      </c>
      <c r="J8" s="60">
        <f>COUNTIFS('Kal Unter PvH SH'!J22:M70,$G$8)</f>
        <v>1</v>
      </c>
      <c r="U8" s="22" t="s">
        <v>270</v>
      </c>
    </row>
    <row r="9" spans="1:21" ht="15" customHeight="1" x14ac:dyDescent="0.2">
      <c r="A9" s="86" t="s">
        <v>178</v>
      </c>
      <c r="B9" s="195" t="s">
        <v>214</v>
      </c>
      <c r="C9" s="192"/>
      <c r="D9" s="192"/>
      <c r="E9" s="193"/>
      <c r="G9" s="22" t="s">
        <v>541</v>
      </c>
      <c r="H9" s="84"/>
      <c r="I9" s="85">
        <f ca="1">SUMIF('Kal Unter PvH SH'!J22:M70,$G$9,'Kal Unter PvH SH'!M22:M70)</f>
        <v>28116.91</v>
      </c>
      <c r="J9" s="60">
        <f>COUNTIFS('Kal Unter PvH SH'!J22:M70,$G$9)</f>
        <v>10</v>
      </c>
      <c r="U9" s="22" t="s">
        <v>541</v>
      </c>
    </row>
    <row r="10" spans="1:21" ht="15" customHeight="1" x14ac:dyDescent="0.2">
      <c r="A10" s="87" t="s">
        <v>160</v>
      </c>
      <c r="B10" s="194" t="s">
        <v>207</v>
      </c>
      <c r="C10" s="192"/>
      <c r="D10" s="192"/>
      <c r="E10" s="193"/>
      <c r="G10" s="22" t="s">
        <v>264</v>
      </c>
      <c r="H10" s="84"/>
      <c r="I10" s="85">
        <f ca="1">SUMIF('Kal Unter PvH SH'!J22:M70,$G$10,'Kal Unter PvH SH'!M22:M70)</f>
        <v>33640.519999999997</v>
      </c>
      <c r="J10" s="60">
        <f>COUNTIFS('Kal Unter PvH SH'!J22:M70,$G$10)</f>
        <v>8</v>
      </c>
      <c r="U10" s="22" t="s">
        <v>264</v>
      </c>
    </row>
    <row r="11" spans="1:21" ht="15" customHeight="1" x14ac:dyDescent="0.2">
      <c r="A11" s="87" t="s">
        <v>161</v>
      </c>
      <c r="B11" s="196" t="s">
        <v>208</v>
      </c>
      <c r="C11" s="192"/>
      <c r="D11" s="192"/>
      <c r="E11" s="193"/>
    </row>
    <row r="12" spans="1:21" ht="15" customHeight="1" x14ac:dyDescent="0.2">
      <c r="A12" s="87" t="s">
        <v>162</v>
      </c>
      <c r="B12" s="194" t="s">
        <v>209</v>
      </c>
      <c r="C12" s="192"/>
      <c r="D12" s="192"/>
      <c r="E12" s="193"/>
    </row>
    <row r="13" spans="1:21" ht="15" customHeight="1" x14ac:dyDescent="0.2">
      <c r="A13" s="87" t="s">
        <v>165</v>
      </c>
      <c r="B13" s="179" t="str">
        <f>HYPERLINK("http://maps.google.de/maps?hl=de&amp;bav=on.2,or.r_qf.&amp;bvm=bv.44770516,d.Yms&amp;biw=1395&amp;bih=916&amp;um=1&amp;ie=UTF-8&amp;q="&amp;B7&amp;"+"&amp;B8&amp;"+"&amp;B10&amp;"+"&amp;B11&amp;"+"&amp;B12&amp;"","In Google-Maps anzeigen (wenn Internet verfügbar)")</f>
        <v>In Google-Maps anzeigen (wenn Internet verfügbar)</v>
      </c>
      <c r="C13" s="180"/>
      <c r="D13" s="180"/>
      <c r="E13" s="181"/>
    </row>
    <row r="14" spans="1:21" ht="15" customHeight="1" x14ac:dyDescent="0.2">
      <c r="T14" s="19">
        <f>IF(COUNTA($T$22:$T$70)-COUNTBLANK($T$22:$T$70)=0,"",COUNTA($T$22:$T$70)-COUNTBLANK($T$22:$T$70))</f>
        <v>48</v>
      </c>
    </row>
    <row r="15" spans="1:21" ht="15" hidden="1" customHeight="1" x14ac:dyDescent="0.2"/>
    <row r="16" spans="1:21" ht="15" hidden="1" customHeight="1" x14ac:dyDescent="0.2"/>
    <row r="17" spans="1:21" ht="15" hidden="1" customHeight="1" x14ac:dyDescent="0.2"/>
    <row r="18" spans="1:21" ht="15" hidden="1" customHeight="1" x14ac:dyDescent="0.2"/>
    <row r="19" spans="1:21" ht="15" hidden="1" customHeight="1" x14ac:dyDescent="0.2"/>
    <row r="20" spans="1:21" ht="45" customHeight="1" x14ac:dyDescent="0.2">
      <c r="A20" s="2" t="s">
        <v>92</v>
      </c>
      <c r="B20" s="2" t="s">
        <v>97</v>
      </c>
      <c r="C20" s="2" t="s">
        <v>93</v>
      </c>
      <c r="D20" s="2" t="s">
        <v>94</v>
      </c>
      <c r="E20" s="2" t="s">
        <v>98</v>
      </c>
      <c r="F20" s="2" t="s">
        <v>95</v>
      </c>
      <c r="G20" s="2" t="s">
        <v>115</v>
      </c>
      <c r="H20" s="2" t="s">
        <v>106</v>
      </c>
      <c r="I20" s="2" t="s">
        <v>107</v>
      </c>
      <c r="J20" s="2" t="s">
        <v>99</v>
      </c>
      <c r="K20" s="2" t="s">
        <v>104</v>
      </c>
      <c r="L20" s="2" t="s">
        <v>135</v>
      </c>
      <c r="M20" s="2" t="s">
        <v>109</v>
      </c>
      <c r="N20" s="2" t="s">
        <v>105</v>
      </c>
      <c r="O20" s="2" t="s">
        <v>110</v>
      </c>
      <c r="P20" s="2" t="s">
        <v>111</v>
      </c>
      <c r="Q20" s="2" t="s">
        <v>112</v>
      </c>
      <c r="R20" s="2" t="s">
        <v>182</v>
      </c>
      <c r="S20" s="2" t="s">
        <v>134</v>
      </c>
    </row>
    <row r="21" spans="1:21" ht="29.1" customHeight="1" x14ac:dyDescent="0.2">
      <c r="A21" s="88" t="s">
        <v>119</v>
      </c>
      <c r="B21" s="13"/>
      <c r="C21" s="13"/>
      <c r="D21" s="13"/>
      <c r="E21" s="13"/>
      <c r="F21" s="13"/>
      <c r="G21" s="89">
        <f>SUM($G$22:$G$70)</f>
        <v>1606.8300000000002</v>
      </c>
      <c r="H21" s="89">
        <f>SUM($H$22:$H$70)</f>
        <v>0</v>
      </c>
      <c r="I21" s="89">
        <f>SUM($I$22:$I$70)</f>
        <v>0</v>
      </c>
      <c r="J21" s="41"/>
      <c r="K21" s="41"/>
      <c r="L21" s="90">
        <f>MAX(L22:L70)</f>
        <v>252</v>
      </c>
      <c r="M21" s="89">
        <f>SUM($M$22:$M$70)</f>
        <v>192304.84000000003</v>
      </c>
      <c r="N21" s="41"/>
      <c r="O21" s="41"/>
      <c r="P21" s="89">
        <f>SUM($P$22:$P$70)</f>
        <v>0</v>
      </c>
      <c r="Q21" s="89">
        <f>SUM($Q$22:$Q$70)</f>
        <v>0</v>
      </c>
      <c r="R21" s="89">
        <f>ROUND(IF(L21=0,0,P21/L21),2)</f>
        <v>0</v>
      </c>
      <c r="S21" s="89">
        <f>ROUND(IF(L21=0,0,Q21/L21),2)</f>
        <v>0</v>
      </c>
    </row>
    <row r="22" spans="1:21" ht="15" customHeight="1" x14ac:dyDescent="0.2">
      <c r="A22" s="22">
        <v>1</v>
      </c>
      <c r="B22" s="91"/>
      <c r="C22" s="92" t="s">
        <v>271</v>
      </c>
      <c r="D22" s="92"/>
      <c r="E22" s="92" t="s">
        <v>495</v>
      </c>
      <c r="F22" s="92" t="s">
        <v>227</v>
      </c>
      <c r="G22" s="62">
        <v>4.7699999999999996</v>
      </c>
      <c r="H22" s="62"/>
      <c r="I22" s="62"/>
      <c r="J22" s="22" t="s">
        <v>264</v>
      </c>
      <c r="K22" s="62">
        <v>5</v>
      </c>
      <c r="L22" s="41">
        <f>VLOOKUP(K22,Reinigungstage!A10:F31,6,FALSE)</f>
        <v>186.75</v>
      </c>
      <c r="M22" s="41">
        <f t="shared" ref="M22:M53" si="0">ROUND(IF(L22=0,0,L22*G22),2)</f>
        <v>890.8</v>
      </c>
      <c r="N22" s="93"/>
      <c r="O22" s="41"/>
      <c r="P22" s="41">
        <f t="shared" ref="P22:P53" si="1">ROUND(IF(N22=0,0,M22/N22),2)</f>
        <v>0</v>
      </c>
      <c r="Q22" s="41">
        <f t="shared" ref="Q22:Q53" si="2">IF(M22=0,0,IF(O22="",0,ROUND(P22*O22,2)))</f>
        <v>0</v>
      </c>
      <c r="R22" s="41">
        <f t="shared" ref="R22:R53" si="3">ROUND(IF(P22=0,0,P22/L22),2)</f>
        <v>0</v>
      </c>
      <c r="S22" s="41">
        <f t="shared" ref="S22:S53" si="4">ROUND(IF(Q22=0,0,Q22/L22),2)</f>
        <v>0</v>
      </c>
      <c r="T22" s="4" t="str">
        <f t="shared" ref="T22:T53" si="5">IF(M22=0,"",IF(N22=0,"Leistungswert eintragen",IF(O22=0,"SVS prüfen","")))</f>
        <v>Leistungswert eintragen</v>
      </c>
      <c r="U22" s="4">
        <f t="shared" ref="U22:U53" si="6">VLOOKUP(J22,$U$4:$V$10,2,FALSE)</f>
        <v>0</v>
      </c>
    </row>
    <row r="23" spans="1:21" ht="15" customHeight="1" x14ac:dyDescent="0.2">
      <c r="A23" s="22">
        <v>2</v>
      </c>
      <c r="B23" s="91"/>
      <c r="C23" s="92" t="s">
        <v>271</v>
      </c>
      <c r="D23" s="92"/>
      <c r="E23" s="92" t="s">
        <v>496</v>
      </c>
      <c r="F23" s="92" t="s">
        <v>227</v>
      </c>
      <c r="G23" s="62">
        <v>15.63</v>
      </c>
      <c r="H23" s="62"/>
      <c r="I23" s="62"/>
      <c r="J23" s="22" t="s">
        <v>541</v>
      </c>
      <c r="K23" s="62">
        <v>5</v>
      </c>
      <c r="L23" s="41">
        <f>VLOOKUP(K23,Reinigungstage!A10:F31,6,FALSE)</f>
        <v>186.75</v>
      </c>
      <c r="M23" s="41">
        <f t="shared" si="0"/>
        <v>2918.9</v>
      </c>
      <c r="N23" s="93"/>
      <c r="O23" s="41"/>
      <c r="P23" s="41">
        <f t="shared" si="1"/>
        <v>0</v>
      </c>
      <c r="Q23" s="41">
        <f t="shared" si="2"/>
        <v>0</v>
      </c>
      <c r="R23" s="41">
        <f t="shared" si="3"/>
        <v>0</v>
      </c>
      <c r="S23" s="41">
        <f t="shared" si="4"/>
        <v>0</v>
      </c>
      <c r="T23" s="4" t="str">
        <f t="shared" si="5"/>
        <v>Leistungswert eintragen</v>
      </c>
      <c r="U23" s="4">
        <f t="shared" si="6"/>
        <v>0</v>
      </c>
    </row>
    <row r="24" spans="1:21" ht="15" customHeight="1" x14ac:dyDescent="0.2">
      <c r="A24" s="22">
        <v>3</v>
      </c>
      <c r="B24" s="91"/>
      <c r="C24" s="92" t="s">
        <v>271</v>
      </c>
      <c r="D24" s="92"/>
      <c r="E24" s="92" t="s">
        <v>497</v>
      </c>
      <c r="F24" s="92" t="s">
        <v>227</v>
      </c>
      <c r="G24" s="62">
        <v>11.94</v>
      </c>
      <c r="H24" s="62"/>
      <c r="I24" s="62"/>
      <c r="J24" s="22" t="s">
        <v>541</v>
      </c>
      <c r="K24" s="62">
        <v>5</v>
      </c>
      <c r="L24" s="41">
        <f>VLOOKUP(K24,Reinigungstage!A10:F31,6,FALSE)</f>
        <v>186.75</v>
      </c>
      <c r="M24" s="41">
        <f t="shared" si="0"/>
        <v>2229.8000000000002</v>
      </c>
      <c r="N24" s="93"/>
      <c r="O24" s="41"/>
      <c r="P24" s="41">
        <f t="shared" si="1"/>
        <v>0</v>
      </c>
      <c r="Q24" s="41">
        <f t="shared" si="2"/>
        <v>0</v>
      </c>
      <c r="R24" s="41">
        <f t="shared" si="3"/>
        <v>0</v>
      </c>
      <c r="S24" s="41">
        <f t="shared" si="4"/>
        <v>0</v>
      </c>
      <c r="T24" s="4" t="str">
        <f t="shared" si="5"/>
        <v>Leistungswert eintragen</v>
      </c>
      <c r="U24" s="4">
        <f t="shared" si="6"/>
        <v>0</v>
      </c>
    </row>
    <row r="25" spans="1:21" ht="15" customHeight="1" x14ac:dyDescent="0.2">
      <c r="A25" s="22">
        <v>4</v>
      </c>
      <c r="B25" s="91"/>
      <c r="C25" s="92" t="s">
        <v>271</v>
      </c>
      <c r="D25" s="92"/>
      <c r="E25" s="92" t="s">
        <v>498</v>
      </c>
      <c r="F25" s="92" t="s">
        <v>227</v>
      </c>
      <c r="G25" s="62">
        <v>9.2200000000000006</v>
      </c>
      <c r="H25" s="62"/>
      <c r="I25" s="62"/>
      <c r="J25" s="22" t="s">
        <v>268</v>
      </c>
      <c r="K25" s="62">
        <v>0</v>
      </c>
      <c r="L25" s="41">
        <f>VLOOKUP(K25,Reinigungstage!A10:F31,6,FALSE)</f>
        <v>0</v>
      </c>
      <c r="M25" s="41">
        <f t="shared" si="0"/>
        <v>0</v>
      </c>
      <c r="N25" s="93"/>
      <c r="O25" s="41"/>
      <c r="P25" s="41">
        <f t="shared" si="1"/>
        <v>0</v>
      </c>
      <c r="Q25" s="41">
        <f t="shared" si="2"/>
        <v>0</v>
      </c>
      <c r="R25" s="41">
        <f t="shared" si="3"/>
        <v>0</v>
      </c>
      <c r="S25" s="41">
        <f t="shared" si="4"/>
        <v>0</v>
      </c>
      <c r="T25" s="4" t="str">
        <f t="shared" si="5"/>
        <v/>
      </c>
      <c r="U25" s="4">
        <f t="shared" si="6"/>
        <v>0</v>
      </c>
    </row>
    <row r="26" spans="1:21" ht="15" customHeight="1" x14ac:dyDescent="0.2">
      <c r="A26" s="22">
        <v>5</v>
      </c>
      <c r="B26" s="91"/>
      <c r="C26" s="92" t="s">
        <v>271</v>
      </c>
      <c r="D26" s="92"/>
      <c r="E26" s="92" t="s">
        <v>499</v>
      </c>
      <c r="F26" s="92" t="s">
        <v>224</v>
      </c>
      <c r="G26" s="62">
        <v>3.62</v>
      </c>
      <c r="H26" s="62"/>
      <c r="I26" s="62"/>
      <c r="J26" s="22" t="s">
        <v>267</v>
      </c>
      <c r="K26" s="62">
        <v>5</v>
      </c>
      <c r="L26" s="41">
        <f>VLOOKUP(K26,Reinigungstage!A10:F31,6,FALSE)</f>
        <v>186.75</v>
      </c>
      <c r="M26" s="41">
        <f t="shared" si="0"/>
        <v>676.04</v>
      </c>
      <c r="N26" s="93"/>
      <c r="O26" s="41"/>
      <c r="P26" s="41">
        <f t="shared" si="1"/>
        <v>0</v>
      </c>
      <c r="Q26" s="41">
        <f t="shared" si="2"/>
        <v>0</v>
      </c>
      <c r="R26" s="41">
        <f t="shared" si="3"/>
        <v>0</v>
      </c>
      <c r="S26" s="41">
        <f t="shared" si="4"/>
        <v>0</v>
      </c>
      <c r="T26" s="4" t="str">
        <f t="shared" si="5"/>
        <v>Leistungswert eintragen</v>
      </c>
      <c r="U26" s="4">
        <f t="shared" si="6"/>
        <v>0</v>
      </c>
    </row>
    <row r="27" spans="1:21" ht="15" customHeight="1" x14ac:dyDescent="0.2">
      <c r="A27" s="22">
        <v>6</v>
      </c>
      <c r="B27" s="91"/>
      <c r="C27" s="92" t="s">
        <v>271</v>
      </c>
      <c r="D27" s="92"/>
      <c r="E27" s="92" t="s">
        <v>500</v>
      </c>
      <c r="F27" s="92" t="s">
        <v>224</v>
      </c>
      <c r="G27" s="62">
        <v>1.57</v>
      </c>
      <c r="H27" s="62"/>
      <c r="I27" s="62"/>
      <c r="J27" s="22" t="s">
        <v>267</v>
      </c>
      <c r="K27" s="62">
        <v>5</v>
      </c>
      <c r="L27" s="41">
        <f>VLOOKUP(K27,Reinigungstage!A10:F31,6,FALSE)</f>
        <v>186.75</v>
      </c>
      <c r="M27" s="41">
        <f t="shared" si="0"/>
        <v>293.2</v>
      </c>
      <c r="N27" s="93"/>
      <c r="O27" s="41"/>
      <c r="P27" s="41">
        <f t="shared" si="1"/>
        <v>0</v>
      </c>
      <c r="Q27" s="41">
        <f t="shared" si="2"/>
        <v>0</v>
      </c>
      <c r="R27" s="41">
        <f t="shared" si="3"/>
        <v>0</v>
      </c>
      <c r="S27" s="41">
        <f t="shared" si="4"/>
        <v>0</v>
      </c>
      <c r="T27" s="4" t="str">
        <f t="shared" si="5"/>
        <v>Leistungswert eintragen</v>
      </c>
      <c r="U27" s="4">
        <f t="shared" si="6"/>
        <v>0</v>
      </c>
    </row>
    <row r="28" spans="1:21" ht="15" customHeight="1" x14ac:dyDescent="0.2">
      <c r="A28" s="22">
        <v>7</v>
      </c>
      <c r="B28" s="91"/>
      <c r="C28" s="92" t="s">
        <v>271</v>
      </c>
      <c r="D28" s="92"/>
      <c r="E28" s="92" t="s">
        <v>501</v>
      </c>
      <c r="F28" s="92" t="s">
        <v>224</v>
      </c>
      <c r="G28" s="62">
        <v>7.65</v>
      </c>
      <c r="H28" s="62"/>
      <c r="I28" s="62"/>
      <c r="J28" s="22" t="s">
        <v>267</v>
      </c>
      <c r="K28" s="62">
        <v>5</v>
      </c>
      <c r="L28" s="41">
        <f>VLOOKUP(K28,Reinigungstage!A10:F31,6,FALSE)</f>
        <v>186.75</v>
      </c>
      <c r="M28" s="41">
        <f t="shared" si="0"/>
        <v>1428.64</v>
      </c>
      <c r="N28" s="93"/>
      <c r="O28" s="41"/>
      <c r="P28" s="41">
        <f t="shared" si="1"/>
        <v>0</v>
      </c>
      <c r="Q28" s="41">
        <f t="shared" si="2"/>
        <v>0</v>
      </c>
      <c r="R28" s="41">
        <f t="shared" si="3"/>
        <v>0</v>
      </c>
      <c r="S28" s="41">
        <f t="shared" si="4"/>
        <v>0</v>
      </c>
      <c r="T28" s="4" t="str">
        <f t="shared" si="5"/>
        <v>Leistungswert eintragen</v>
      </c>
      <c r="U28" s="4">
        <f t="shared" si="6"/>
        <v>0</v>
      </c>
    </row>
    <row r="29" spans="1:21" ht="15" customHeight="1" x14ac:dyDescent="0.2">
      <c r="A29" s="22">
        <v>8</v>
      </c>
      <c r="B29" s="91"/>
      <c r="C29" s="92" t="s">
        <v>271</v>
      </c>
      <c r="D29" s="92"/>
      <c r="E29" s="92" t="s">
        <v>502</v>
      </c>
      <c r="F29" s="92" t="s">
        <v>224</v>
      </c>
      <c r="G29" s="62">
        <v>3.62</v>
      </c>
      <c r="H29" s="62"/>
      <c r="I29" s="62"/>
      <c r="J29" s="22" t="s">
        <v>267</v>
      </c>
      <c r="K29" s="62">
        <v>5</v>
      </c>
      <c r="L29" s="41">
        <f>VLOOKUP(K29,Reinigungstage!A10:F31,6,FALSE)</f>
        <v>186.75</v>
      </c>
      <c r="M29" s="41">
        <f t="shared" si="0"/>
        <v>676.04</v>
      </c>
      <c r="N29" s="93"/>
      <c r="O29" s="41"/>
      <c r="P29" s="41">
        <f t="shared" si="1"/>
        <v>0</v>
      </c>
      <c r="Q29" s="41">
        <f t="shared" si="2"/>
        <v>0</v>
      </c>
      <c r="R29" s="41">
        <f t="shared" si="3"/>
        <v>0</v>
      </c>
      <c r="S29" s="41">
        <f t="shared" si="4"/>
        <v>0</v>
      </c>
      <c r="T29" s="4" t="str">
        <f t="shared" si="5"/>
        <v>Leistungswert eintragen</v>
      </c>
      <c r="U29" s="4">
        <f t="shared" si="6"/>
        <v>0</v>
      </c>
    </row>
    <row r="30" spans="1:21" ht="15" customHeight="1" x14ac:dyDescent="0.2">
      <c r="A30" s="22">
        <v>9</v>
      </c>
      <c r="B30" s="91"/>
      <c r="C30" s="92" t="s">
        <v>271</v>
      </c>
      <c r="D30" s="92"/>
      <c r="E30" s="92" t="s">
        <v>503</v>
      </c>
      <c r="F30" s="92" t="s">
        <v>224</v>
      </c>
      <c r="G30" s="62">
        <v>1.57</v>
      </c>
      <c r="H30" s="62"/>
      <c r="I30" s="62"/>
      <c r="J30" s="22" t="s">
        <v>267</v>
      </c>
      <c r="K30" s="62">
        <v>5</v>
      </c>
      <c r="L30" s="41">
        <f>VLOOKUP(K30,Reinigungstage!A10:F31,6,FALSE)</f>
        <v>186.75</v>
      </c>
      <c r="M30" s="41">
        <f t="shared" si="0"/>
        <v>293.2</v>
      </c>
      <c r="N30" s="93"/>
      <c r="O30" s="41"/>
      <c r="P30" s="41">
        <f t="shared" si="1"/>
        <v>0</v>
      </c>
      <c r="Q30" s="41">
        <f t="shared" si="2"/>
        <v>0</v>
      </c>
      <c r="R30" s="41">
        <f t="shared" si="3"/>
        <v>0</v>
      </c>
      <c r="S30" s="41">
        <f t="shared" si="4"/>
        <v>0</v>
      </c>
      <c r="T30" s="4" t="str">
        <f t="shared" si="5"/>
        <v>Leistungswert eintragen</v>
      </c>
      <c r="U30" s="4">
        <f t="shared" si="6"/>
        <v>0</v>
      </c>
    </row>
    <row r="31" spans="1:21" ht="15" customHeight="1" x14ac:dyDescent="0.2">
      <c r="A31" s="22">
        <v>10</v>
      </c>
      <c r="B31" s="91"/>
      <c r="C31" s="92" t="s">
        <v>271</v>
      </c>
      <c r="D31" s="92"/>
      <c r="E31" s="92" t="s">
        <v>504</v>
      </c>
      <c r="F31" s="92" t="s">
        <v>227</v>
      </c>
      <c r="G31" s="62">
        <v>15.63</v>
      </c>
      <c r="H31" s="62"/>
      <c r="I31" s="62"/>
      <c r="J31" s="22" t="s">
        <v>541</v>
      </c>
      <c r="K31" s="62">
        <v>5</v>
      </c>
      <c r="L31" s="41">
        <f>VLOOKUP(K31,Reinigungstage!A10:F31,6,FALSE)</f>
        <v>186.75</v>
      </c>
      <c r="M31" s="41">
        <f t="shared" si="0"/>
        <v>2918.9</v>
      </c>
      <c r="N31" s="93"/>
      <c r="O31" s="41"/>
      <c r="P31" s="41">
        <f t="shared" si="1"/>
        <v>0</v>
      </c>
      <c r="Q31" s="41">
        <f t="shared" si="2"/>
        <v>0</v>
      </c>
      <c r="R31" s="41">
        <f t="shared" si="3"/>
        <v>0</v>
      </c>
      <c r="S31" s="41">
        <f t="shared" si="4"/>
        <v>0</v>
      </c>
      <c r="T31" s="4" t="str">
        <f t="shared" si="5"/>
        <v>Leistungswert eintragen</v>
      </c>
      <c r="U31" s="4">
        <f t="shared" si="6"/>
        <v>0</v>
      </c>
    </row>
    <row r="32" spans="1:21" ht="15" customHeight="1" x14ac:dyDescent="0.2">
      <c r="A32" s="22">
        <v>11</v>
      </c>
      <c r="B32" s="91"/>
      <c r="C32" s="92" t="s">
        <v>271</v>
      </c>
      <c r="D32" s="92"/>
      <c r="E32" s="92" t="s">
        <v>505</v>
      </c>
      <c r="F32" s="92" t="s">
        <v>227</v>
      </c>
      <c r="G32" s="62">
        <v>96.39</v>
      </c>
      <c r="H32" s="62"/>
      <c r="I32" s="62"/>
      <c r="J32" s="22" t="s">
        <v>264</v>
      </c>
      <c r="K32" s="62">
        <v>5</v>
      </c>
      <c r="L32" s="41">
        <f>VLOOKUP(K32,Reinigungstage!A10:F31,6,FALSE)</f>
        <v>186.75</v>
      </c>
      <c r="M32" s="41">
        <f t="shared" si="0"/>
        <v>18000.830000000002</v>
      </c>
      <c r="N32" s="93"/>
      <c r="O32" s="41"/>
      <c r="P32" s="41">
        <f t="shared" si="1"/>
        <v>0</v>
      </c>
      <c r="Q32" s="41">
        <f t="shared" si="2"/>
        <v>0</v>
      </c>
      <c r="R32" s="41">
        <f t="shared" si="3"/>
        <v>0</v>
      </c>
      <c r="S32" s="41">
        <f t="shared" si="4"/>
        <v>0</v>
      </c>
      <c r="T32" s="4" t="str">
        <f t="shared" si="5"/>
        <v>Leistungswert eintragen</v>
      </c>
      <c r="U32" s="4">
        <f t="shared" si="6"/>
        <v>0</v>
      </c>
    </row>
    <row r="33" spans="1:21" ht="15" customHeight="1" x14ac:dyDescent="0.2">
      <c r="A33" s="22">
        <v>12</v>
      </c>
      <c r="B33" s="91"/>
      <c r="C33" s="92" t="s">
        <v>271</v>
      </c>
      <c r="D33" s="92"/>
      <c r="E33" s="92" t="s">
        <v>506</v>
      </c>
      <c r="F33" s="92" t="s">
        <v>227</v>
      </c>
      <c r="G33" s="62">
        <v>4.7699999999999996</v>
      </c>
      <c r="H33" s="62"/>
      <c r="I33" s="62"/>
      <c r="J33" s="22" t="s">
        <v>264</v>
      </c>
      <c r="K33" s="62">
        <v>5</v>
      </c>
      <c r="L33" s="41">
        <f>VLOOKUP(K33,Reinigungstage!A10:F31,6,FALSE)</f>
        <v>186.75</v>
      </c>
      <c r="M33" s="41">
        <f t="shared" si="0"/>
        <v>890.8</v>
      </c>
      <c r="N33" s="93"/>
      <c r="O33" s="41"/>
      <c r="P33" s="41">
        <f t="shared" si="1"/>
        <v>0</v>
      </c>
      <c r="Q33" s="41">
        <f t="shared" si="2"/>
        <v>0</v>
      </c>
      <c r="R33" s="41">
        <f t="shared" si="3"/>
        <v>0</v>
      </c>
      <c r="S33" s="41">
        <f t="shared" si="4"/>
        <v>0</v>
      </c>
      <c r="T33" s="4" t="str">
        <f t="shared" si="5"/>
        <v>Leistungswert eintragen</v>
      </c>
      <c r="U33" s="4">
        <f t="shared" si="6"/>
        <v>0</v>
      </c>
    </row>
    <row r="34" spans="1:21" ht="15" customHeight="1" x14ac:dyDescent="0.2">
      <c r="A34" s="22">
        <v>13</v>
      </c>
      <c r="B34" s="91"/>
      <c r="C34" s="92" t="s">
        <v>271</v>
      </c>
      <c r="D34" s="92"/>
      <c r="E34" s="92" t="s">
        <v>507</v>
      </c>
      <c r="F34" s="92" t="s">
        <v>227</v>
      </c>
      <c r="G34" s="62">
        <v>15.63</v>
      </c>
      <c r="H34" s="62"/>
      <c r="I34" s="62"/>
      <c r="J34" s="22" t="s">
        <v>541</v>
      </c>
      <c r="K34" s="62">
        <v>5</v>
      </c>
      <c r="L34" s="41">
        <f>VLOOKUP(K34,Reinigungstage!A10:F31,6,FALSE)</f>
        <v>186.75</v>
      </c>
      <c r="M34" s="41">
        <f t="shared" si="0"/>
        <v>2918.9</v>
      </c>
      <c r="N34" s="93"/>
      <c r="O34" s="41"/>
      <c r="P34" s="41">
        <f t="shared" si="1"/>
        <v>0</v>
      </c>
      <c r="Q34" s="41">
        <f t="shared" si="2"/>
        <v>0</v>
      </c>
      <c r="R34" s="41">
        <f t="shared" si="3"/>
        <v>0</v>
      </c>
      <c r="S34" s="41">
        <f t="shared" si="4"/>
        <v>0</v>
      </c>
      <c r="T34" s="4" t="str">
        <f t="shared" si="5"/>
        <v>Leistungswert eintragen</v>
      </c>
      <c r="U34" s="4">
        <f t="shared" si="6"/>
        <v>0</v>
      </c>
    </row>
    <row r="35" spans="1:21" ht="15" customHeight="1" x14ac:dyDescent="0.2">
      <c r="A35" s="22">
        <v>14</v>
      </c>
      <c r="B35" s="91"/>
      <c r="C35" s="92" t="s">
        <v>271</v>
      </c>
      <c r="D35" s="92"/>
      <c r="E35" s="92" t="s">
        <v>508</v>
      </c>
      <c r="F35" s="92" t="s">
        <v>224</v>
      </c>
      <c r="G35" s="62">
        <v>3.62</v>
      </c>
      <c r="H35" s="62"/>
      <c r="I35" s="62"/>
      <c r="J35" s="22" t="s">
        <v>267</v>
      </c>
      <c r="K35" s="62">
        <v>5</v>
      </c>
      <c r="L35" s="41">
        <f>VLOOKUP(K35,Reinigungstage!A10:F31,6,FALSE)</f>
        <v>186.75</v>
      </c>
      <c r="M35" s="41">
        <f t="shared" si="0"/>
        <v>676.04</v>
      </c>
      <c r="N35" s="93"/>
      <c r="O35" s="41"/>
      <c r="P35" s="41">
        <f t="shared" si="1"/>
        <v>0</v>
      </c>
      <c r="Q35" s="41">
        <f t="shared" si="2"/>
        <v>0</v>
      </c>
      <c r="R35" s="41">
        <f t="shared" si="3"/>
        <v>0</v>
      </c>
      <c r="S35" s="41">
        <f t="shared" si="4"/>
        <v>0</v>
      </c>
      <c r="T35" s="4" t="str">
        <f t="shared" si="5"/>
        <v>Leistungswert eintragen</v>
      </c>
      <c r="U35" s="4">
        <f t="shared" si="6"/>
        <v>0</v>
      </c>
    </row>
    <row r="36" spans="1:21" ht="15" customHeight="1" x14ac:dyDescent="0.2">
      <c r="A36" s="22">
        <v>15</v>
      </c>
      <c r="B36" s="91"/>
      <c r="C36" s="92" t="s">
        <v>271</v>
      </c>
      <c r="D36" s="92"/>
      <c r="E36" s="92" t="s">
        <v>509</v>
      </c>
      <c r="F36" s="92" t="s">
        <v>224</v>
      </c>
      <c r="G36" s="62">
        <v>1.57</v>
      </c>
      <c r="H36" s="62"/>
      <c r="I36" s="62"/>
      <c r="J36" s="22" t="s">
        <v>267</v>
      </c>
      <c r="K36" s="62">
        <v>5</v>
      </c>
      <c r="L36" s="41">
        <f>VLOOKUP(K36,Reinigungstage!A10:F31,6,FALSE)</f>
        <v>186.75</v>
      </c>
      <c r="M36" s="41">
        <f t="shared" si="0"/>
        <v>293.2</v>
      </c>
      <c r="N36" s="93"/>
      <c r="O36" s="41"/>
      <c r="P36" s="41">
        <f t="shared" si="1"/>
        <v>0</v>
      </c>
      <c r="Q36" s="41">
        <f t="shared" si="2"/>
        <v>0</v>
      </c>
      <c r="R36" s="41">
        <f t="shared" si="3"/>
        <v>0</v>
      </c>
      <c r="S36" s="41">
        <f t="shared" si="4"/>
        <v>0</v>
      </c>
      <c r="T36" s="4" t="str">
        <f t="shared" si="5"/>
        <v>Leistungswert eintragen</v>
      </c>
      <c r="U36" s="4">
        <f t="shared" si="6"/>
        <v>0</v>
      </c>
    </row>
    <row r="37" spans="1:21" ht="15" customHeight="1" x14ac:dyDescent="0.2">
      <c r="A37" s="22">
        <v>16</v>
      </c>
      <c r="B37" s="91"/>
      <c r="C37" s="92" t="s">
        <v>271</v>
      </c>
      <c r="D37" s="92"/>
      <c r="E37" s="92" t="s">
        <v>510</v>
      </c>
      <c r="F37" s="92" t="s">
        <v>224</v>
      </c>
      <c r="G37" s="62">
        <v>7.65</v>
      </c>
      <c r="H37" s="62"/>
      <c r="I37" s="62"/>
      <c r="J37" s="22" t="s">
        <v>267</v>
      </c>
      <c r="K37" s="62">
        <v>5</v>
      </c>
      <c r="L37" s="41">
        <f>VLOOKUP(K37,Reinigungstage!A10:F31,6,FALSE)</f>
        <v>186.75</v>
      </c>
      <c r="M37" s="41">
        <f t="shared" si="0"/>
        <v>1428.64</v>
      </c>
      <c r="N37" s="93"/>
      <c r="O37" s="41"/>
      <c r="P37" s="41">
        <f t="shared" si="1"/>
        <v>0</v>
      </c>
      <c r="Q37" s="41">
        <f t="shared" si="2"/>
        <v>0</v>
      </c>
      <c r="R37" s="41">
        <f t="shared" si="3"/>
        <v>0</v>
      </c>
      <c r="S37" s="41">
        <f t="shared" si="4"/>
        <v>0</v>
      </c>
      <c r="T37" s="4" t="str">
        <f t="shared" si="5"/>
        <v>Leistungswert eintragen</v>
      </c>
      <c r="U37" s="4">
        <f t="shared" si="6"/>
        <v>0</v>
      </c>
    </row>
    <row r="38" spans="1:21" ht="15" customHeight="1" x14ac:dyDescent="0.2">
      <c r="A38" s="22">
        <v>17</v>
      </c>
      <c r="B38" s="91"/>
      <c r="C38" s="92" t="s">
        <v>271</v>
      </c>
      <c r="D38" s="92"/>
      <c r="E38" s="92" t="s">
        <v>511</v>
      </c>
      <c r="F38" s="92" t="s">
        <v>224</v>
      </c>
      <c r="G38" s="62">
        <v>3.62</v>
      </c>
      <c r="H38" s="62"/>
      <c r="I38" s="62"/>
      <c r="J38" s="22" t="s">
        <v>267</v>
      </c>
      <c r="K38" s="62">
        <v>5</v>
      </c>
      <c r="L38" s="41">
        <f>VLOOKUP(K38,Reinigungstage!A10:F31,6,FALSE)</f>
        <v>186.75</v>
      </c>
      <c r="M38" s="41">
        <f t="shared" si="0"/>
        <v>676.04</v>
      </c>
      <c r="N38" s="93"/>
      <c r="O38" s="41"/>
      <c r="P38" s="41">
        <f t="shared" si="1"/>
        <v>0</v>
      </c>
      <c r="Q38" s="41">
        <f t="shared" si="2"/>
        <v>0</v>
      </c>
      <c r="R38" s="41">
        <f t="shared" si="3"/>
        <v>0</v>
      </c>
      <c r="S38" s="41">
        <f t="shared" si="4"/>
        <v>0</v>
      </c>
      <c r="T38" s="4" t="str">
        <f t="shared" si="5"/>
        <v>Leistungswert eintragen</v>
      </c>
      <c r="U38" s="4">
        <f t="shared" si="6"/>
        <v>0</v>
      </c>
    </row>
    <row r="39" spans="1:21" ht="15" customHeight="1" x14ac:dyDescent="0.2">
      <c r="A39" s="22">
        <v>18</v>
      </c>
      <c r="B39" s="91"/>
      <c r="C39" s="92" t="s">
        <v>271</v>
      </c>
      <c r="D39" s="92"/>
      <c r="E39" s="92" t="s">
        <v>512</v>
      </c>
      <c r="F39" s="92" t="s">
        <v>224</v>
      </c>
      <c r="G39" s="62">
        <v>1.57</v>
      </c>
      <c r="H39" s="62"/>
      <c r="I39" s="62"/>
      <c r="J39" s="22" t="s">
        <v>267</v>
      </c>
      <c r="K39" s="62">
        <v>5</v>
      </c>
      <c r="L39" s="41">
        <f>VLOOKUP(K39,Reinigungstage!A10:F31,6,FALSE)</f>
        <v>186.75</v>
      </c>
      <c r="M39" s="41">
        <f t="shared" si="0"/>
        <v>293.2</v>
      </c>
      <c r="N39" s="93"/>
      <c r="O39" s="41"/>
      <c r="P39" s="41">
        <f t="shared" si="1"/>
        <v>0</v>
      </c>
      <c r="Q39" s="41">
        <f t="shared" si="2"/>
        <v>0</v>
      </c>
      <c r="R39" s="41">
        <f t="shared" si="3"/>
        <v>0</v>
      </c>
      <c r="S39" s="41">
        <f t="shared" si="4"/>
        <v>0</v>
      </c>
      <c r="T39" s="4" t="str">
        <f t="shared" si="5"/>
        <v>Leistungswert eintragen</v>
      </c>
      <c r="U39" s="4">
        <f t="shared" si="6"/>
        <v>0</v>
      </c>
    </row>
    <row r="40" spans="1:21" ht="15" customHeight="1" x14ac:dyDescent="0.2">
      <c r="A40" s="22">
        <v>19</v>
      </c>
      <c r="B40" s="91"/>
      <c r="C40" s="92" t="s">
        <v>271</v>
      </c>
      <c r="D40" s="92"/>
      <c r="E40" s="92" t="s">
        <v>513</v>
      </c>
      <c r="F40" s="92" t="s">
        <v>227</v>
      </c>
      <c r="G40" s="62">
        <v>15.63</v>
      </c>
      <c r="H40" s="62"/>
      <c r="I40" s="62"/>
      <c r="J40" s="22" t="s">
        <v>541</v>
      </c>
      <c r="K40" s="62">
        <v>5</v>
      </c>
      <c r="L40" s="41">
        <f>VLOOKUP(K40,Reinigungstage!A10:F31,6,FALSE)</f>
        <v>186.75</v>
      </c>
      <c r="M40" s="41">
        <f t="shared" si="0"/>
        <v>2918.9</v>
      </c>
      <c r="N40" s="93"/>
      <c r="O40" s="41"/>
      <c r="P40" s="41">
        <f t="shared" si="1"/>
        <v>0</v>
      </c>
      <c r="Q40" s="41">
        <f t="shared" si="2"/>
        <v>0</v>
      </c>
      <c r="R40" s="41">
        <f t="shared" si="3"/>
        <v>0</v>
      </c>
      <c r="S40" s="41">
        <f t="shared" si="4"/>
        <v>0</v>
      </c>
      <c r="T40" s="4" t="str">
        <f t="shared" si="5"/>
        <v>Leistungswert eintragen</v>
      </c>
      <c r="U40" s="4">
        <f t="shared" si="6"/>
        <v>0</v>
      </c>
    </row>
    <row r="41" spans="1:21" ht="15" customHeight="1" x14ac:dyDescent="0.2">
      <c r="A41" s="22">
        <v>20</v>
      </c>
      <c r="B41" s="91"/>
      <c r="C41" s="92" t="s">
        <v>271</v>
      </c>
      <c r="D41" s="92"/>
      <c r="E41" s="92" t="s">
        <v>514</v>
      </c>
      <c r="F41" s="92" t="s">
        <v>227</v>
      </c>
      <c r="G41" s="62">
        <v>4.7699999999999996</v>
      </c>
      <c r="H41" s="62"/>
      <c r="I41" s="62"/>
      <c r="J41" s="22" t="s">
        <v>264</v>
      </c>
      <c r="K41" s="62">
        <v>5</v>
      </c>
      <c r="L41" s="41">
        <f>VLOOKUP(K41,Reinigungstage!A10:F31,6,FALSE)</f>
        <v>186.75</v>
      </c>
      <c r="M41" s="41">
        <f t="shared" si="0"/>
        <v>890.8</v>
      </c>
      <c r="N41" s="93"/>
      <c r="O41" s="41"/>
      <c r="P41" s="41">
        <f t="shared" si="1"/>
        <v>0</v>
      </c>
      <c r="Q41" s="41">
        <f t="shared" si="2"/>
        <v>0</v>
      </c>
      <c r="R41" s="41">
        <f t="shared" si="3"/>
        <v>0</v>
      </c>
      <c r="S41" s="41">
        <f t="shared" si="4"/>
        <v>0</v>
      </c>
      <c r="T41" s="4" t="str">
        <f t="shared" si="5"/>
        <v>Leistungswert eintragen</v>
      </c>
      <c r="U41" s="4">
        <f t="shared" si="6"/>
        <v>0</v>
      </c>
    </row>
    <row r="42" spans="1:21" ht="15" customHeight="1" x14ac:dyDescent="0.2">
      <c r="A42" s="22">
        <v>21</v>
      </c>
      <c r="B42" s="91"/>
      <c r="C42" s="92" t="s">
        <v>271</v>
      </c>
      <c r="D42" s="92"/>
      <c r="E42" s="92" t="s">
        <v>515</v>
      </c>
      <c r="F42" s="92" t="s">
        <v>227</v>
      </c>
      <c r="G42" s="62">
        <v>15.63</v>
      </c>
      <c r="H42" s="62"/>
      <c r="I42" s="62"/>
      <c r="J42" s="22" t="s">
        <v>541</v>
      </c>
      <c r="K42" s="62">
        <v>5</v>
      </c>
      <c r="L42" s="41">
        <f>VLOOKUP(K42,Reinigungstage!A10:F31,6,FALSE)</f>
        <v>186.75</v>
      </c>
      <c r="M42" s="41">
        <f t="shared" si="0"/>
        <v>2918.9</v>
      </c>
      <c r="N42" s="93"/>
      <c r="O42" s="41"/>
      <c r="P42" s="41">
        <f t="shared" si="1"/>
        <v>0</v>
      </c>
      <c r="Q42" s="41">
        <f t="shared" si="2"/>
        <v>0</v>
      </c>
      <c r="R42" s="41">
        <f t="shared" si="3"/>
        <v>0</v>
      </c>
      <c r="S42" s="41">
        <f t="shared" si="4"/>
        <v>0</v>
      </c>
      <c r="T42" s="4" t="str">
        <f t="shared" si="5"/>
        <v>Leistungswert eintragen</v>
      </c>
      <c r="U42" s="4">
        <f t="shared" si="6"/>
        <v>0</v>
      </c>
    </row>
    <row r="43" spans="1:21" ht="15" customHeight="1" x14ac:dyDescent="0.2">
      <c r="A43" s="22">
        <v>22</v>
      </c>
      <c r="B43" s="91"/>
      <c r="C43" s="92" t="s">
        <v>271</v>
      </c>
      <c r="D43" s="92"/>
      <c r="E43" s="92" t="s">
        <v>516</v>
      </c>
      <c r="F43" s="92" t="s">
        <v>224</v>
      </c>
      <c r="G43" s="62">
        <v>3.62</v>
      </c>
      <c r="H43" s="62"/>
      <c r="I43" s="62"/>
      <c r="J43" s="22" t="s">
        <v>267</v>
      </c>
      <c r="K43" s="62">
        <v>5</v>
      </c>
      <c r="L43" s="41">
        <f>VLOOKUP(K43,Reinigungstage!A10:F31,6,FALSE)</f>
        <v>186.75</v>
      </c>
      <c r="M43" s="41">
        <f t="shared" si="0"/>
        <v>676.04</v>
      </c>
      <c r="N43" s="93"/>
      <c r="O43" s="41"/>
      <c r="P43" s="41">
        <f t="shared" si="1"/>
        <v>0</v>
      </c>
      <c r="Q43" s="41">
        <f t="shared" si="2"/>
        <v>0</v>
      </c>
      <c r="R43" s="41">
        <f t="shared" si="3"/>
        <v>0</v>
      </c>
      <c r="S43" s="41">
        <f t="shared" si="4"/>
        <v>0</v>
      </c>
      <c r="T43" s="4" t="str">
        <f t="shared" si="5"/>
        <v>Leistungswert eintragen</v>
      </c>
      <c r="U43" s="4">
        <f t="shared" si="6"/>
        <v>0</v>
      </c>
    </row>
    <row r="44" spans="1:21" ht="15" customHeight="1" x14ac:dyDescent="0.2">
      <c r="A44" s="22">
        <v>23</v>
      </c>
      <c r="B44" s="91"/>
      <c r="C44" s="92" t="s">
        <v>271</v>
      </c>
      <c r="D44" s="92"/>
      <c r="E44" s="92" t="s">
        <v>517</v>
      </c>
      <c r="F44" s="92" t="s">
        <v>224</v>
      </c>
      <c r="G44" s="62">
        <v>1.57</v>
      </c>
      <c r="H44" s="62"/>
      <c r="I44" s="62"/>
      <c r="J44" s="22" t="s">
        <v>267</v>
      </c>
      <c r="K44" s="62">
        <v>5</v>
      </c>
      <c r="L44" s="41">
        <f>VLOOKUP(K44,Reinigungstage!A10:F31,6,FALSE)</f>
        <v>186.75</v>
      </c>
      <c r="M44" s="41">
        <f t="shared" si="0"/>
        <v>293.2</v>
      </c>
      <c r="N44" s="93"/>
      <c r="O44" s="41"/>
      <c r="P44" s="41">
        <f t="shared" si="1"/>
        <v>0</v>
      </c>
      <c r="Q44" s="41">
        <f t="shared" si="2"/>
        <v>0</v>
      </c>
      <c r="R44" s="41">
        <f t="shared" si="3"/>
        <v>0</v>
      </c>
      <c r="S44" s="41">
        <f t="shared" si="4"/>
        <v>0</v>
      </c>
      <c r="T44" s="4" t="str">
        <f t="shared" si="5"/>
        <v>Leistungswert eintragen</v>
      </c>
      <c r="U44" s="4">
        <f t="shared" si="6"/>
        <v>0</v>
      </c>
    </row>
    <row r="45" spans="1:21" ht="15" customHeight="1" x14ac:dyDescent="0.2">
      <c r="A45" s="22">
        <v>24</v>
      </c>
      <c r="B45" s="91"/>
      <c r="C45" s="92" t="s">
        <v>271</v>
      </c>
      <c r="D45" s="92"/>
      <c r="E45" s="92" t="s">
        <v>518</v>
      </c>
      <c r="F45" s="92" t="s">
        <v>224</v>
      </c>
      <c r="G45" s="62">
        <v>7.65</v>
      </c>
      <c r="H45" s="62"/>
      <c r="I45" s="62"/>
      <c r="J45" s="22" t="s">
        <v>267</v>
      </c>
      <c r="K45" s="62">
        <v>5</v>
      </c>
      <c r="L45" s="41">
        <f>VLOOKUP(K45,Reinigungstage!A10:F31,6,FALSE)</f>
        <v>186.75</v>
      </c>
      <c r="M45" s="41">
        <f t="shared" si="0"/>
        <v>1428.64</v>
      </c>
      <c r="N45" s="93"/>
      <c r="O45" s="41"/>
      <c r="P45" s="41">
        <f t="shared" si="1"/>
        <v>0</v>
      </c>
      <c r="Q45" s="41">
        <f t="shared" si="2"/>
        <v>0</v>
      </c>
      <c r="R45" s="41">
        <f t="shared" si="3"/>
        <v>0</v>
      </c>
      <c r="S45" s="41">
        <f t="shared" si="4"/>
        <v>0</v>
      </c>
      <c r="T45" s="4" t="str">
        <f t="shared" si="5"/>
        <v>Leistungswert eintragen</v>
      </c>
      <c r="U45" s="4">
        <f t="shared" si="6"/>
        <v>0</v>
      </c>
    </row>
    <row r="46" spans="1:21" ht="15" customHeight="1" x14ac:dyDescent="0.2">
      <c r="A46" s="22">
        <v>25</v>
      </c>
      <c r="B46" s="91"/>
      <c r="C46" s="92" t="s">
        <v>271</v>
      </c>
      <c r="D46" s="92"/>
      <c r="E46" s="92" t="s">
        <v>519</v>
      </c>
      <c r="F46" s="92" t="s">
        <v>224</v>
      </c>
      <c r="G46" s="62">
        <v>3.62</v>
      </c>
      <c r="H46" s="62"/>
      <c r="I46" s="62"/>
      <c r="J46" s="22" t="s">
        <v>267</v>
      </c>
      <c r="K46" s="62">
        <v>5</v>
      </c>
      <c r="L46" s="41">
        <f>VLOOKUP(K46,Reinigungstage!A10:F31,6,FALSE)</f>
        <v>186.75</v>
      </c>
      <c r="M46" s="41">
        <f t="shared" si="0"/>
        <v>676.04</v>
      </c>
      <c r="N46" s="93"/>
      <c r="O46" s="41"/>
      <c r="P46" s="41">
        <f t="shared" si="1"/>
        <v>0</v>
      </c>
      <c r="Q46" s="41">
        <f t="shared" si="2"/>
        <v>0</v>
      </c>
      <c r="R46" s="41">
        <f t="shared" si="3"/>
        <v>0</v>
      </c>
      <c r="S46" s="41">
        <f t="shared" si="4"/>
        <v>0</v>
      </c>
      <c r="T46" s="4" t="str">
        <f t="shared" si="5"/>
        <v>Leistungswert eintragen</v>
      </c>
      <c r="U46" s="4">
        <f t="shared" si="6"/>
        <v>0</v>
      </c>
    </row>
    <row r="47" spans="1:21" ht="15" customHeight="1" x14ac:dyDescent="0.2">
      <c r="A47" s="22">
        <v>26</v>
      </c>
      <c r="B47" s="91"/>
      <c r="C47" s="92" t="s">
        <v>271</v>
      </c>
      <c r="D47" s="92"/>
      <c r="E47" s="92" t="s">
        <v>520</v>
      </c>
      <c r="F47" s="92" t="s">
        <v>224</v>
      </c>
      <c r="G47" s="62">
        <v>1.57</v>
      </c>
      <c r="H47" s="62"/>
      <c r="I47" s="62"/>
      <c r="J47" s="22" t="s">
        <v>267</v>
      </c>
      <c r="K47" s="62">
        <v>5</v>
      </c>
      <c r="L47" s="41">
        <f>VLOOKUP(K47,Reinigungstage!A10:F31,6,FALSE)</f>
        <v>186.75</v>
      </c>
      <c r="M47" s="41">
        <f t="shared" si="0"/>
        <v>293.2</v>
      </c>
      <c r="N47" s="93"/>
      <c r="O47" s="41"/>
      <c r="P47" s="41">
        <f t="shared" si="1"/>
        <v>0</v>
      </c>
      <c r="Q47" s="41">
        <f t="shared" si="2"/>
        <v>0</v>
      </c>
      <c r="R47" s="41">
        <f t="shared" si="3"/>
        <v>0</v>
      </c>
      <c r="S47" s="41">
        <f t="shared" si="4"/>
        <v>0</v>
      </c>
      <c r="T47" s="4" t="str">
        <f t="shared" si="5"/>
        <v>Leistungswert eintragen</v>
      </c>
      <c r="U47" s="4">
        <f t="shared" si="6"/>
        <v>0</v>
      </c>
    </row>
    <row r="48" spans="1:21" ht="15" customHeight="1" x14ac:dyDescent="0.2">
      <c r="A48" s="22">
        <v>27</v>
      </c>
      <c r="B48" s="91"/>
      <c r="C48" s="92" t="s">
        <v>271</v>
      </c>
      <c r="D48" s="92"/>
      <c r="E48" s="92" t="s">
        <v>521</v>
      </c>
      <c r="F48" s="92" t="s">
        <v>227</v>
      </c>
      <c r="G48" s="62">
        <v>15.63</v>
      </c>
      <c r="H48" s="62"/>
      <c r="I48" s="62"/>
      <c r="J48" s="22" t="s">
        <v>541</v>
      </c>
      <c r="K48" s="62">
        <v>5</v>
      </c>
      <c r="L48" s="41">
        <f>VLOOKUP(K48,Reinigungstage!A10:F31,6,FALSE)</f>
        <v>186.75</v>
      </c>
      <c r="M48" s="41">
        <f t="shared" si="0"/>
        <v>2918.9</v>
      </c>
      <c r="N48" s="93"/>
      <c r="O48" s="41"/>
      <c r="P48" s="41">
        <f t="shared" si="1"/>
        <v>0</v>
      </c>
      <c r="Q48" s="41">
        <f t="shared" si="2"/>
        <v>0</v>
      </c>
      <c r="R48" s="41">
        <f t="shared" si="3"/>
        <v>0</v>
      </c>
      <c r="S48" s="41">
        <f t="shared" si="4"/>
        <v>0</v>
      </c>
      <c r="T48" s="4" t="str">
        <f t="shared" si="5"/>
        <v>Leistungswert eintragen</v>
      </c>
      <c r="U48" s="4">
        <f t="shared" si="6"/>
        <v>0</v>
      </c>
    </row>
    <row r="49" spans="1:21" ht="15" customHeight="1" x14ac:dyDescent="0.2">
      <c r="A49" s="22">
        <v>28</v>
      </c>
      <c r="B49" s="91"/>
      <c r="C49" s="92" t="s">
        <v>271</v>
      </c>
      <c r="D49" s="92"/>
      <c r="E49" s="92" t="s">
        <v>522</v>
      </c>
      <c r="F49" s="92" t="s">
        <v>227</v>
      </c>
      <c r="G49" s="62">
        <v>4.7699999999999996</v>
      </c>
      <c r="H49" s="62"/>
      <c r="I49" s="62"/>
      <c r="J49" s="22" t="s">
        <v>264</v>
      </c>
      <c r="K49" s="62">
        <v>5</v>
      </c>
      <c r="L49" s="41">
        <v>252</v>
      </c>
      <c r="M49" s="41">
        <f t="shared" si="0"/>
        <v>1202.04</v>
      </c>
      <c r="N49" s="93"/>
      <c r="O49" s="41"/>
      <c r="P49" s="41">
        <f t="shared" si="1"/>
        <v>0</v>
      </c>
      <c r="Q49" s="41">
        <f t="shared" si="2"/>
        <v>0</v>
      </c>
      <c r="R49" s="41">
        <f t="shared" si="3"/>
        <v>0</v>
      </c>
      <c r="S49" s="41">
        <f t="shared" si="4"/>
        <v>0</v>
      </c>
      <c r="T49" s="4" t="str">
        <f t="shared" si="5"/>
        <v>Leistungswert eintragen</v>
      </c>
      <c r="U49" s="4">
        <f t="shared" si="6"/>
        <v>0</v>
      </c>
    </row>
    <row r="50" spans="1:21" ht="15" customHeight="1" x14ac:dyDescent="0.2">
      <c r="A50" s="22">
        <v>29</v>
      </c>
      <c r="B50" s="91"/>
      <c r="C50" s="92" t="s">
        <v>271</v>
      </c>
      <c r="D50" s="92"/>
      <c r="E50" s="92" t="s">
        <v>523</v>
      </c>
      <c r="F50" s="92" t="s">
        <v>227</v>
      </c>
      <c r="G50" s="62">
        <v>15.63</v>
      </c>
      <c r="H50" s="62"/>
      <c r="I50" s="62"/>
      <c r="J50" s="22" t="s">
        <v>541</v>
      </c>
      <c r="K50" s="62">
        <v>5</v>
      </c>
      <c r="L50" s="41">
        <f>VLOOKUP(K50,Reinigungstage!A10:F31,6,FALSE)</f>
        <v>186.75</v>
      </c>
      <c r="M50" s="41">
        <f t="shared" si="0"/>
        <v>2918.9</v>
      </c>
      <c r="N50" s="93"/>
      <c r="O50" s="41"/>
      <c r="P50" s="41">
        <f t="shared" si="1"/>
        <v>0</v>
      </c>
      <c r="Q50" s="41">
        <f t="shared" si="2"/>
        <v>0</v>
      </c>
      <c r="R50" s="41">
        <f t="shared" si="3"/>
        <v>0</v>
      </c>
      <c r="S50" s="41">
        <f t="shared" si="4"/>
        <v>0</v>
      </c>
      <c r="T50" s="4" t="str">
        <f t="shared" si="5"/>
        <v>Leistungswert eintragen</v>
      </c>
      <c r="U50" s="4">
        <f t="shared" si="6"/>
        <v>0</v>
      </c>
    </row>
    <row r="51" spans="1:21" ht="15" customHeight="1" x14ac:dyDescent="0.2">
      <c r="A51" s="22">
        <v>30</v>
      </c>
      <c r="B51" s="91"/>
      <c r="C51" s="92" t="s">
        <v>271</v>
      </c>
      <c r="D51" s="92"/>
      <c r="E51" s="92" t="s">
        <v>524</v>
      </c>
      <c r="F51" s="92" t="s">
        <v>224</v>
      </c>
      <c r="G51" s="62">
        <v>3.62</v>
      </c>
      <c r="H51" s="62"/>
      <c r="I51" s="62"/>
      <c r="J51" s="22" t="s">
        <v>267</v>
      </c>
      <c r="K51" s="62">
        <v>5</v>
      </c>
      <c r="L51" s="41">
        <f>VLOOKUP(K51,Reinigungstage!A10:F31,6,FALSE)</f>
        <v>186.75</v>
      </c>
      <c r="M51" s="41">
        <f t="shared" si="0"/>
        <v>676.04</v>
      </c>
      <c r="N51" s="93"/>
      <c r="O51" s="41"/>
      <c r="P51" s="41">
        <f t="shared" si="1"/>
        <v>0</v>
      </c>
      <c r="Q51" s="41">
        <f t="shared" si="2"/>
        <v>0</v>
      </c>
      <c r="R51" s="41">
        <f t="shared" si="3"/>
        <v>0</v>
      </c>
      <c r="S51" s="41">
        <f t="shared" si="4"/>
        <v>0</v>
      </c>
      <c r="T51" s="4" t="str">
        <f t="shared" si="5"/>
        <v>Leistungswert eintragen</v>
      </c>
      <c r="U51" s="4">
        <f t="shared" si="6"/>
        <v>0</v>
      </c>
    </row>
    <row r="52" spans="1:21" ht="15" customHeight="1" x14ac:dyDescent="0.2">
      <c r="A52" s="22">
        <v>31</v>
      </c>
      <c r="B52" s="91"/>
      <c r="C52" s="92" t="s">
        <v>271</v>
      </c>
      <c r="D52" s="92"/>
      <c r="E52" s="92" t="s">
        <v>525</v>
      </c>
      <c r="F52" s="92" t="s">
        <v>224</v>
      </c>
      <c r="G52" s="62">
        <v>1.57</v>
      </c>
      <c r="H52" s="62"/>
      <c r="I52" s="62"/>
      <c r="J52" s="22" t="s">
        <v>267</v>
      </c>
      <c r="K52" s="62">
        <v>5</v>
      </c>
      <c r="L52" s="41">
        <f>VLOOKUP(K52,Reinigungstage!A10:F31,6,FALSE)</f>
        <v>186.75</v>
      </c>
      <c r="M52" s="41">
        <f t="shared" si="0"/>
        <v>293.2</v>
      </c>
      <c r="N52" s="93"/>
      <c r="O52" s="41"/>
      <c r="P52" s="41">
        <f t="shared" si="1"/>
        <v>0</v>
      </c>
      <c r="Q52" s="41">
        <f t="shared" si="2"/>
        <v>0</v>
      </c>
      <c r="R52" s="41">
        <f t="shared" si="3"/>
        <v>0</v>
      </c>
      <c r="S52" s="41">
        <f t="shared" si="4"/>
        <v>0</v>
      </c>
      <c r="T52" s="4" t="str">
        <f t="shared" si="5"/>
        <v>Leistungswert eintragen</v>
      </c>
      <c r="U52" s="4">
        <f t="shared" si="6"/>
        <v>0</v>
      </c>
    </row>
    <row r="53" spans="1:21" ht="15" customHeight="1" x14ac:dyDescent="0.2">
      <c r="A53" s="22">
        <v>32</v>
      </c>
      <c r="B53" s="91"/>
      <c r="C53" s="92" t="s">
        <v>271</v>
      </c>
      <c r="D53" s="92"/>
      <c r="E53" s="92" t="s">
        <v>526</v>
      </c>
      <c r="F53" s="92" t="s">
        <v>224</v>
      </c>
      <c r="G53" s="62">
        <v>7.65</v>
      </c>
      <c r="H53" s="62"/>
      <c r="I53" s="62"/>
      <c r="J53" s="22" t="s">
        <v>267</v>
      </c>
      <c r="K53" s="62">
        <v>5</v>
      </c>
      <c r="L53" s="41">
        <f>VLOOKUP(K53,Reinigungstage!A10:F31,6,FALSE)</f>
        <v>186.75</v>
      </c>
      <c r="M53" s="41">
        <f t="shared" si="0"/>
        <v>1428.64</v>
      </c>
      <c r="N53" s="93"/>
      <c r="O53" s="41"/>
      <c r="P53" s="41">
        <f t="shared" si="1"/>
        <v>0</v>
      </c>
      <c r="Q53" s="41">
        <f t="shared" si="2"/>
        <v>0</v>
      </c>
      <c r="R53" s="41">
        <f t="shared" si="3"/>
        <v>0</v>
      </c>
      <c r="S53" s="41">
        <f t="shared" si="4"/>
        <v>0</v>
      </c>
      <c r="T53" s="4" t="str">
        <f t="shared" si="5"/>
        <v>Leistungswert eintragen</v>
      </c>
      <c r="U53" s="4">
        <f t="shared" si="6"/>
        <v>0</v>
      </c>
    </row>
    <row r="54" spans="1:21" ht="15" customHeight="1" x14ac:dyDescent="0.2">
      <c r="A54" s="22">
        <v>33</v>
      </c>
      <c r="B54" s="91"/>
      <c r="C54" s="92" t="s">
        <v>271</v>
      </c>
      <c r="D54" s="92"/>
      <c r="E54" s="92" t="s">
        <v>527</v>
      </c>
      <c r="F54" s="92" t="s">
        <v>224</v>
      </c>
      <c r="G54" s="62">
        <v>3.62</v>
      </c>
      <c r="H54" s="62"/>
      <c r="I54" s="62"/>
      <c r="J54" s="22" t="s">
        <v>267</v>
      </c>
      <c r="K54" s="62">
        <v>5</v>
      </c>
      <c r="L54" s="41">
        <f>VLOOKUP(K54,Reinigungstage!A10:F31,6,FALSE)</f>
        <v>186.75</v>
      </c>
      <c r="M54" s="41">
        <f t="shared" ref="M54:M70" si="7">ROUND(IF(L54=0,0,L54*G54),2)</f>
        <v>676.04</v>
      </c>
      <c r="N54" s="93"/>
      <c r="O54" s="41"/>
      <c r="P54" s="41">
        <f t="shared" ref="P54:P70" si="8">ROUND(IF(N54=0,0,M54/N54),2)</f>
        <v>0</v>
      </c>
      <c r="Q54" s="41">
        <f t="shared" ref="Q54:Q70" si="9">IF(M54=0,0,IF(O54="",0,ROUND(P54*O54,2)))</f>
        <v>0</v>
      </c>
      <c r="R54" s="41">
        <f t="shared" ref="R54:R70" si="10">ROUND(IF(P54=0,0,P54/L54),2)</f>
        <v>0</v>
      </c>
      <c r="S54" s="41">
        <f t="shared" ref="S54:S70" si="11">ROUND(IF(Q54=0,0,Q54/L54),2)</f>
        <v>0</v>
      </c>
      <c r="T54" s="4" t="str">
        <f t="shared" ref="T54:T70" si="12">IF(M54=0,"",IF(N54=0,"Leistungswert eintragen",IF(O54=0,"SVS prüfen","")))</f>
        <v>Leistungswert eintragen</v>
      </c>
      <c r="U54" s="4">
        <f t="shared" ref="U54:U70" si="13">VLOOKUP(J54,$U$4:$V$10,2,FALSE)</f>
        <v>0</v>
      </c>
    </row>
    <row r="55" spans="1:21" ht="15" customHeight="1" x14ac:dyDescent="0.2">
      <c r="A55" s="22">
        <v>34</v>
      </c>
      <c r="B55" s="91"/>
      <c r="C55" s="92" t="s">
        <v>271</v>
      </c>
      <c r="D55" s="92"/>
      <c r="E55" s="92" t="s">
        <v>528</v>
      </c>
      <c r="F55" s="92" t="s">
        <v>224</v>
      </c>
      <c r="G55" s="62">
        <v>1.57</v>
      </c>
      <c r="H55" s="62"/>
      <c r="I55" s="62"/>
      <c r="J55" s="22" t="s">
        <v>267</v>
      </c>
      <c r="K55" s="62">
        <v>5</v>
      </c>
      <c r="L55" s="41">
        <f>VLOOKUP(K55,Reinigungstage!A10:F31,6,FALSE)</f>
        <v>186.75</v>
      </c>
      <c r="M55" s="41">
        <f t="shared" si="7"/>
        <v>293.2</v>
      </c>
      <c r="N55" s="93"/>
      <c r="O55" s="41"/>
      <c r="P55" s="41">
        <f t="shared" si="8"/>
        <v>0</v>
      </c>
      <c r="Q55" s="41">
        <f t="shared" si="9"/>
        <v>0</v>
      </c>
      <c r="R55" s="41">
        <f t="shared" si="10"/>
        <v>0</v>
      </c>
      <c r="S55" s="41">
        <f t="shared" si="11"/>
        <v>0</v>
      </c>
      <c r="T55" s="4" t="str">
        <f t="shared" si="12"/>
        <v>Leistungswert eintragen</v>
      </c>
      <c r="U55" s="4">
        <f t="shared" si="13"/>
        <v>0</v>
      </c>
    </row>
    <row r="56" spans="1:21" ht="15" customHeight="1" x14ac:dyDescent="0.2">
      <c r="A56" s="22">
        <v>35</v>
      </c>
      <c r="B56" s="91"/>
      <c r="C56" s="92" t="s">
        <v>271</v>
      </c>
      <c r="D56" s="92"/>
      <c r="E56" s="92" t="s">
        <v>529</v>
      </c>
      <c r="F56" s="92" t="s">
        <v>227</v>
      </c>
      <c r="G56" s="62">
        <v>28.08</v>
      </c>
      <c r="H56" s="62"/>
      <c r="I56" s="62"/>
      <c r="J56" s="22" t="s">
        <v>541</v>
      </c>
      <c r="K56" s="62">
        <v>5</v>
      </c>
      <c r="L56" s="41">
        <f>VLOOKUP(K56,Reinigungstage!A10:F31,6,FALSE)</f>
        <v>186.75</v>
      </c>
      <c r="M56" s="41">
        <f t="shared" si="7"/>
        <v>5243.94</v>
      </c>
      <c r="N56" s="93"/>
      <c r="O56" s="41"/>
      <c r="P56" s="41">
        <f t="shared" si="8"/>
        <v>0</v>
      </c>
      <c r="Q56" s="41">
        <f t="shared" si="9"/>
        <v>0</v>
      </c>
      <c r="R56" s="41">
        <f t="shared" si="10"/>
        <v>0</v>
      </c>
      <c r="S56" s="41">
        <f t="shared" si="11"/>
        <v>0</v>
      </c>
      <c r="T56" s="4" t="str">
        <f t="shared" si="12"/>
        <v>Leistungswert eintragen</v>
      </c>
      <c r="U56" s="4">
        <f t="shared" si="13"/>
        <v>0</v>
      </c>
    </row>
    <row r="57" spans="1:21" ht="15" customHeight="1" x14ac:dyDescent="0.2">
      <c r="A57" s="22">
        <v>36</v>
      </c>
      <c r="B57" s="91"/>
      <c r="C57" s="92" t="s">
        <v>271</v>
      </c>
      <c r="D57" s="92"/>
      <c r="E57" s="149" t="s">
        <v>591</v>
      </c>
      <c r="F57" s="92" t="s">
        <v>227</v>
      </c>
      <c r="G57" s="62">
        <v>9.2200000000000006</v>
      </c>
      <c r="H57" s="62"/>
      <c r="I57" s="62"/>
      <c r="J57" s="22" t="s">
        <v>268</v>
      </c>
      <c r="K57" s="22" t="s">
        <v>141</v>
      </c>
      <c r="L57" s="41">
        <f>VLOOKUP(K57,Reinigungstage!A10:F31,6,FALSE)</f>
        <v>4</v>
      </c>
      <c r="M57" s="41">
        <f t="shared" si="7"/>
        <v>36.880000000000003</v>
      </c>
      <c r="N57" s="93"/>
      <c r="O57" s="41"/>
      <c r="P57" s="41">
        <f t="shared" si="8"/>
        <v>0</v>
      </c>
      <c r="Q57" s="41">
        <f t="shared" si="9"/>
        <v>0</v>
      </c>
      <c r="R57" s="41">
        <f t="shared" si="10"/>
        <v>0</v>
      </c>
      <c r="S57" s="41">
        <f t="shared" si="11"/>
        <v>0</v>
      </c>
      <c r="T57" s="4" t="str">
        <f t="shared" si="12"/>
        <v>Leistungswert eintragen</v>
      </c>
      <c r="U57" s="4">
        <f t="shared" si="13"/>
        <v>0</v>
      </c>
    </row>
    <row r="58" spans="1:21" ht="15" customHeight="1" x14ac:dyDescent="0.2">
      <c r="A58" s="22">
        <v>37</v>
      </c>
      <c r="B58" s="91"/>
      <c r="C58" s="92" t="s">
        <v>271</v>
      </c>
      <c r="D58" s="92"/>
      <c r="E58" s="92" t="s">
        <v>530</v>
      </c>
      <c r="F58" s="92" t="s">
        <v>227</v>
      </c>
      <c r="G58" s="62">
        <v>18.670000000000002</v>
      </c>
      <c r="H58" s="62"/>
      <c r="I58" s="62"/>
      <c r="J58" s="22" t="s">
        <v>264</v>
      </c>
      <c r="K58" s="62">
        <v>5</v>
      </c>
      <c r="L58" s="41">
        <f>VLOOKUP(K58,Reinigungstage!A10:F31,6,FALSE)</f>
        <v>186.75</v>
      </c>
      <c r="M58" s="41">
        <f t="shared" si="7"/>
        <v>3486.62</v>
      </c>
      <c r="N58" s="93"/>
      <c r="O58" s="41"/>
      <c r="P58" s="41">
        <f t="shared" si="8"/>
        <v>0</v>
      </c>
      <c r="Q58" s="41">
        <f t="shared" si="9"/>
        <v>0</v>
      </c>
      <c r="R58" s="41">
        <f t="shared" si="10"/>
        <v>0</v>
      </c>
      <c r="S58" s="41">
        <f t="shared" si="11"/>
        <v>0</v>
      </c>
      <c r="T58" s="4" t="str">
        <f t="shared" si="12"/>
        <v>Leistungswert eintragen</v>
      </c>
      <c r="U58" s="4">
        <f t="shared" si="13"/>
        <v>0</v>
      </c>
    </row>
    <row r="59" spans="1:21" ht="15" customHeight="1" x14ac:dyDescent="0.2">
      <c r="A59" s="22">
        <v>38</v>
      </c>
      <c r="B59" s="91"/>
      <c r="C59" s="92" t="s">
        <v>271</v>
      </c>
      <c r="D59" s="92"/>
      <c r="E59" s="92" t="s">
        <v>590</v>
      </c>
      <c r="F59" s="92" t="s">
        <v>227</v>
      </c>
      <c r="G59" s="62">
        <v>19.170000000000002</v>
      </c>
      <c r="H59" s="62"/>
      <c r="I59" s="62"/>
      <c r="J59" s="22" t="s">
        <v>541</v>
      </c>
      <c r="K59" s="22" t="s">
        <v>138</v>
      </c>
      <c r="L59" s="41">
        <f>VLOOKUP(K59,Reinigungstage!A10:F31,6,FALSE)</f>
        <v>11</v>
      </c>
      <c r="M59" s="41">
        <f t="shared" si="7"/>
        <v>210.87</v>
      </c>
      <c r="N59" s="93"/>
      <c r="O59" s="41"/>
      <c r="P59" s="41">
        <f t="shared" si="8"/>
        <v>0</v>
      </c>
      <c r="Q59" s="41">
        <f t="shared" si="9"/>
        <v>0</v>
      </c>
      <c r="R59" s="41">
        <f t="shared" si="10"/>
        <v>0</v>
      </c>
      <c r="S59" s="41">
        <f t="shared" si="11"/>
        <v>0</v>
      </c>
      <c r="T59" s="4" t="str">
        <f t="shared" si="12"/>
        <v>Leistungswert eintragen</v>
      </c>
      <c r="U59" s="4">
        <f t="shared" si="13"/>
        <v>0</v>
      </c>
    </row>
    <row r="60" spans="1:21" ht="15" customHeight="1" x14ac:dyDescent="0.2">
      <c r="A60" s="22">
        <v>39</v>
      </c>
      <c r="B60" s="91"/>
      <c r="C60" s="92" t="s">
        <v>271</v>
      </c>
      <c r="D60" s="92"/>
      <c r="E60" s="92" t="s">
        <v>531</v>
      </c>
      <c r="F60" s="92" t="s">
        <v>227</v>
      </c>
      <c r="G60" s="62">
        <v>26.43</v>
      </c>
      <c r="H60" s="62"/>
      <c r="I60" s="62"/>
      <c r="J60" s="22" t="s">
        <v>264</v>
      </c>
      <c r="K60" s="62">
        <v>5</v>
      </c>
      <c r="L60" s="41">
        <f>VLOOKUP(K60,Reinigungstage!A10:F31,6,FALSE)</f>
        <v>186.75</v>
      </c>
      <c r="M60" s="41">
        <f t="shared" si="7"/>
        <v>4935.8</v>
      </c>
      <c r="N60" s="93"/>
      <c r="O60" s="41"/>
      <c r="P60" s="41">
        <f t="shared" si="8"/>
        <v>0</v>
      </c>
      <c r="Q60" s="41">
        <f t="shared" si="9"/>
        <v>0</v>
      </c>
      <c r="R60" s="41">
        <f t="shared" si="10"/>
        <v>0</v>
      </c>
      <c r="S60" s="41">
        <f t="shared" si="11"/>
        <v>0</v>
      </c>
      <c r="T60" s="4" t="str">
        <f t="shared" si="12"/>
        <v>Leistungswert eintragen</v>
      </c>
      <c r="U60" s="4">
        <f t="shared" si="13"/>
        <v>0</v>
      </c>
    </row>
    <row r="61" spans="1:21" ht="15" customHeight="1" x14ac:dyDescent="0.2">
      <c r="A61" s="22">
        <v>40</v>
      </c>
      <c r="B61" s="91"/>
      <c r="C61" s="92" t="s">
        <v>271</v>
      </c>
      <c r="D61" s="92"/>
      <c r="E61" s="92" t="s">
        <v>215</v>
      </c>
      <c r="F61" s="92" t="s">
        <v>227</v>
      </c>
      <c r="G61" s="62">
        <v>925</v>
      </c>
      <c r="H61" s="62"/>
      <c r="I61" s="62"/>
      <c r="J61" s="22" t="s">
        <v>542</v>
      </c>
      <c r="K61" s="62">
        <v>3</v>
      </c>
      <c r="L61" s="41">
        <f>VLOOKUP(K61,Reinigungstage!A10:F31,6,FALSE)</f>
        <v>112.05</v>
      </c>
      <c r="M61" s="41">
        <f t="shared" si="7"/>
        <v>103646.25</v>
      </c>
      <c r="N61" s="93"/>
      <c r="O61" s="41"/>
      <c r="P61" s="41">
        <f t="shared" si="8"/>
        <v>0</v>
      </c>
      <c r="Q61" s="41">
        <f t="shared" si="9"/>
        <v>0</v>
      </c>
      <c r="R61" s="41">
        <f t="shared" si="10"/>
        <v>0</v>
      </c>
      <c r="S61" s="41">
        <f t="shared" si="11"/>
        <v>0</v>
      </c>
      <c r="T61" s="4" t="str">
        <f t="shared" si="12"/>
        <v>Leistungswert eintragen</v>
      </c>
      <c r="U61" s="4">
        <f t="shared" si="13"/>
        <v>0</v>
      </c>
    </row>
    <row r="62" spans="1:21" ht="15" customHeight="1" x14ac:dyDescent="0.2">
      <c r="A62" s="22">
        <v>41</v>
      </c>
      <c r="B62" s="91"/>
      <c r="C62" s="92" t="s">
        <v>271</v>
      </c>
      <c r="D62" s="92"/>
      <c r="E62" s="92" t="s">
        <v>532</v>
      </c>
      <c r="F62" s="92" t="s">
        <v>227</v>
      </c>
      <c r="G62" s="62">
        <v>17.899999999999999</v>
      </c>
      <c r="H62" s="62"/>
      <c r="I62" s="62"/>
      <c r="J62" s="22" t="s">
        <v>264</v>
      </c>
      <c r="K62" s="62">
        <v>5</v>
      </c>
      <c r="L62" s="41">
        <f>VLOOKUP(K62,Reinigungstage!A10:F31,6,FALSE)</f>
        <v>186.75</v>
      </c>
      <c r="M62" s="41">
        <f t="shared" si="7"/>
        <v>3342.83</v>
      </c>
      <c r="N62" s="93"/>
      <c r="O62" s="41"/>
      <c r="P62" s="41">
        <f t="shared" si="8"/>
        <v>0</v>
      </c>
      <c r="Q62" s="41">
        <f t="shared" si="9"/>
        <v>0</v>
      </c>
      <c r="R62" s="41">
        <f t="shared" si="10"/>
        <v>0</v>
      </c>
      <c r="S62" s="41">
        <f t="shared" si="11"/>
        <v>0</v>
      </c>
      <c r="T62" s="4" t="str">
        <f t="shared" si="12"/>
        <v>Leistungswert eintragen</v>
      </c>
      <c r="U62" s="4">
        <f t="shared" si="13"/>
        <v>0</v>
      </c>
    </row>
    <row r="63" spans="1:21" ht="15" customHeight="1" x14ac:dyDescent="0.2">
      <c r="A63" s="22">
        <v>42</v>
      </c>
      <c r="B63" s="91"/>
      <c r="C63" s="92" t="s">
        <v>271</v>
      </c>
      <c r="D63" s="92"/>
      <c r="E63" s="92" t="s">
        <v>533</v>
      </c>
      <c r="F63" s="92" t="s">
        <v>227</v>
      </c>
      <c r="G63" s="62">
        <v>109.7</v>
      </c>
      <c r="H63" s="62"/>
      <c r="I63" s="62"/>
      <c r="J63" s="22" t="s">
        <v>266</v>
      </c>
      <c r="K63" s="62">
        <v>3</v>
      </c>
      <c r="L63" s="41">
        <f>VLOOKUP(K63,Reinigungstage!A10:F31,6,FALSE)</f>
        <v>112.05</v>
      </c>
      <c r="M63" s="41">
        <f t="shared" si="7"/>
        <v>12291.89</v>
      </c>
      <c r="N63" s="93"/>
      <c r="O63" s="41"/>
      <c r="P63" s="41">
        <f t="shared" si="8"/>
        <v>0</v>
      </c>
      <c r="Q63" s="41">
        <f t="shared" si="9"/>
        <v>0</v>
      </c>
      <c r="R63" s="41">
        <f t="shared" si="10"/>
        <v>0</v>
      </c>
      <c r="S63" s="41">
        <f t="shared" si="11"/>
        <v>0</v>
      </c>
      <c r="T63" s="4" t="str">
        <f t="shared" si="12"/>
        <v>Leistungswert eintragen</v>
      </c>
      <c r="U63" s="4">
        <f t="shared" si="13"/>
        <v>0</v>
      </c>
    </row>
    <row r="64" spans="1:21" ht="15" customHeight="1" x14ac:dyDescent="0.2">
      <c r="A64" s="22">
        <v>43</v>
      </c>
      <c r="B64" s="91"/>
      <c r="C64" s="92" t="s">
        <v>271</v>
      </c>
      <c r="D64" s="92"/>
      <c r="E64" s="92" t="s">
        <v>534</v>
      </c>
      <c r="F64" s="92" t="s">
        <v>227</v>
      </c>
      <c r="G64" s="62">
        <v>35.9</v>
      </c>
      <c r="H64" s="62"/>
      <c r="I64" s="62"/>
      <c r="J64" s="22" t="s">
        <v>268</v>
      </c>
      <c r="K64" s="22" t="s">
        <v>141</v>
      </c>
      <c r="L64" s="41">
        <f>VLOOKUP(K64,Reinigungstage!A10:F31,6,FALSE)</f>
        <v>4</v>
      </c>
      <c r="M64" s="41">
        <f t="shared" si="7"/>
        <v>143.6</v>
      </c>
      <c r="N64" s="93"/>
      <c r="O64" s="41"/>
      <c r="P64" s="41">
        <f t="shared" si="8"/>
        <v>0</v>
      </c>
      <c r="Q64" s="41">
        <f t="shared" si="9"/>
        <v>0</v>
      </c>
      <c r="R64" s="41">
        <f t="shared" si="10"/>
        <v>0</v>
      </c>
      <c r="S64" s="41">
        <f t="shared" si="11"/>
        <v>0</v>
      </c>
      <c r="T64" s="4" t="str">
        <f t="shared" si="12"/>
        <v>Leistungswert eintragen</v>
      </c>
      <c r="U64" s="4">
        <f t="shared" si="13"/>
        <v>0</v>
      </c>
    </row>
    <row r="65" spans="1:21" ht="15" customHeight="1" x14ac:dyDescent="0.2">
      <c r="A65" s="22">
        <v>44</v>
      </c>
      <c r="B65" s="91"/>
      <c r="C65" s="92" t="s">
        <v>271</v>
      </c>
      <c r="D65" s="92"/>
      <c r="E65" s="92" t="s">
        <v>535</v>
      </c>
      <c r="F65" s="92" t="s">
        <v>227</v>
      </c>
      <c r="G65" s="62">
        <v>2.11</v>
      </c>
      <c r="H65" s="62"/>
      <c r="I65" s="62"/>
      <c r="J65" s="22" t="s">
        <v>268</v>
      </c>
      <c r="K65" s="22" t="s">
        <v>141</v>
      </c>
      <c r="L65" s="41">
        <f>VLOOKUP(K65,Reinigungstage!A10:F31,6,FALSE)</f>
        <v>4</v>
      </c>
      <c r="M65" s="41">
        <f t="shared" si="7"/>
        <v>8.44</v>
      </c>
      <c r="N65" s="93"/>
      <c r="O65" s="41"/>
      <c r="P65" s="41">
        <f t="shared" si="8"/>
        <v>0</v>
      </c>
      <c r="Q65" s="41">
        <f t="shared" si="9"/>
        <v>0</v>
      </c>
      <c r="R65" s="41">
        <f t="shared" si="10"/>
        <v>0</v>
      </c>
      <c r="S65" s="41">
        <f t="shared" si="11"/>
        <v>0</v>
      </c>
      <c r="T65" s="4" t="str">
        <f t="shared" si="12"/>
        <v>Leistungswert eintragen</v>
      </c>
      <c r="U65" s="4">
        <f t="shared" si="13"/>
        <v>0</v>
      </c>
    </row>
    <row r="66" spans="1:21" ht="15" customHeight="1" x14ac:dyDescent="0.2">
      <c r="A66" s="22">
        <v>45</v>
      </c>
      <c r="B66" s="91"/>
      <c r="C66" s="92" t="s">
        <v>271</v>
      </c>
      <c r="D66" s="92"/>
      <c r="E66" s="92" t="s">
        <v>536</v>
      </c>
      <c r="F66" s="92" t="s">
        <v>227</v>
      </c>
      <c r="G66" s="62">
        <v>27.4</v>
      </c>
      <c r="H66" s="62"/>
      <c r="I66" s="62"/>
      <c r="J66" s="22" t="s">
        <v>268</v>
      </c>
      <c r="K66" s="22" t="s">
        <v>141</v>
      </c>
      <c r="L66" s="41">
        <f>VLOOKUP(K66,Reinigungstage!A10:F31,6,FALSE)</f>
        <v>4</v>
      </c>
      <c r="M66" s="41">
        <f t="shared" si="7"/>
        <v>109.6</v>
      </c>
      <c r="N66" s="93"/>
      <c r="O66" s="41"/>
      <c r="P66" s="41">
        <f t="shared" si="8"/>
        <v>0</v>
      </c>
      <c r="Q66" s="41">
        <f t="shared" si="9"/>
        <v>0</v>
      </c>
      <c r="R66" s="41">
        <f t="shared" si="10"/>
        <v>0</v>
      </c>
      <c r="S66" s="41">
        <f t="shared" si="11"/>
        <v>0</v>
      </c>
      <c r="T66" s="4" t="str">
        <f t="shared" si="12"/>
        <v>Leistungswert eintragen</v>
      </c>
      <c r="U66" s="4">
        <f t="shared" si="13"/>
        <v>0</v>
      </c>
    </row>
    <row r="67" spans="1:21" ht="15" customHeight="1" x14ac:dyDescent="0.2">
      <c r="A67" s="22">
        <v>46</v>
      </c>
      <c r="B67" s="91"/>
      <c r="C67" s="92" t="s">
        <v>271</v>
      </c>
      <c r="D67" s="92"/>
      <c r="E67" s="92" t="s">
        <v>537</v>
      </c>
      <c r="F67" s="92" t="s">
        <v>227</v>
      </c>
      <c r="G67" s="62">
        <v>19.8</v>
      </c>
      <c r="H67" s="62"/>
      <c r="I67" s="62"/>
      <c r="J67" s="22" t="s">
        <v>268</v>
      </c>
      <c r="K67" s="22" t="s">
        <v>141</v>
      </c>
      <c r="L67" s="41">
        <f>VLOOKUP(K67,Reinigungstage!A10:F31,6,FALSE)</f>
        <v>4</v>
      </c>
      <c r="M67" s="41">
        <f t="shared" si="7"/>
        <v>79.2</v>
      </c>
      <c r="N67" s="93"/>
      <c r="O67" s="41"/>
      <c r="P67" s="41">
        <f t="shared" si="8"/>
        <v>0</v>
      </c>
      <c r="Q67" s="41">
        <f t="shared" si="9"/>
        <v>0</v>
      </c>
      <c r="R67" s="41">
        <f t="shared" si="10"/>
        <v>0</v>
      </c>
      <c r="S67" s="41">
        <f t="shared" si="11"/>
        <v>0</v>
      </c>
      <c r="T67" s="4" t="str">
        <f t="shared" si="12"/>
        <v>Leistungswert eintragen</v>
      </c>
      <c r="U67" s="4">
        <f t="shared" si="13"/>
        <v>0</v>
      </c>
    </row>
    <row r="68" spans="1:21" ht="15" customHeight="1" x14ac:dyDescent="0.2">
      <c r="A68" s="22">
        <v>47</v>
      </c>
      <c r="B68" s="91"/>
      <c r="C68" s="92" t="s">
        <v>271</v>
      </c>
      <c r="D68" s="92"/>
      <c r="E68" s="92" t="s">
        <v>538</v>
      </c>
      <c r="F68" s="92" t="s">
        <v>227</v>
      </c>
      <c r="G68" s="62">
        <v>20</v>
      </c>
      <c r="H68" s="62"/>
      <c r="I68" s="62"/>
      <c r="J68" s="22" t="s">
        <v>268</v>
      </c>
      <c r="K68" s="22" t="s">
        <v>141</v>
      </c>
      <c r="L68" s="41">
        <f>VLOOKUP(K68,Reinigungstage!A10:F31,6,FALSE)</f>
        <v>4</v>
      </c>
      <c r="M68" s="41">
        <f t="shared" si="7"/>
        <v>80</v>
      </c>
      <c r="N68" s="93"/>
      <c r="O68" s="41"/>
      <c r="P68" s="41">
        <f t="shared" si="8"/>
        <v>0</v>
      </c>
      <c r="Q68" s="41">
        <f t="shared" si="9"/>
        <v>0</v>
      </c>
      <c r="R68" s="41">
        <f t="shared" si="10"/>
        <v>0</v>
      </c>
      <c r="S68" s="41">
        <f t="shared" si="11"/>
        <v>0</v>
      </c>
      <c r="T68" s="4" t="str">
        <f t="shared" si="12"/>
        <v>Leistungswert eintragen</v>
      </c>
      <c r="U68" s="4">
        <f t="shared" si="13"/>
        <v>0</v>
      </c>
    </row>
    <row r="69" spans="1:21" ht="15" customHeight="1" x14ac:dyDescent="0.2">
      <c r="A69" s="22">
        <v>48</v>
      </c>
      <c r="B69" s="91"/>
      <c r="C69" s="92" t="s">
        <v>271</v>
      </c>
      <c r="D69" s="92"/>
      <c r="E69" s="92" t="s">
        <v>539</v>
      </c>
      <c r="F69" s="92" t="s">
        <v>227</v>
      </c>
      <c r="G69" s="62">
        <v>21.6</v>
      </c>
      <c r="H69" s="62"/>
      <c r="I69" s="62"/>
      <c r="J69" s="22" t="s">
        <v>268</v>
      </c>
      <c r="K69" s="22" t="s">
        <v>141</v>
      </c>
      <c r="L69" s="41">
        <f>VLOOKUP(K69,Reinigungstage!A10:F31,6,FALSE)</f>
        <v>4</v>
      </c>
      <c r="M69" s="41">
        <f t="shared" si="7"/>
        <v>86.4</v>
      </c>
      <c r="N69" s="93"/>
      <c r="O69" s="41"/>
      <c r="P69" s="41">
        <f t="shared" si="8"/>
        <v>0</v>
      </c>
      <c r="Q69" s="41">
        <f t="shared" si="9"/>
        <v>0</v>
      </c>
      <c r="R69" s="41">
        <f t="shared" si="10"/>
        <v>0</v>
      </c>
      <c r="S69" s="41">
        <f t="shared" si="11"/>
        <v>0</v>
      </c>
      <c r="T69" s="4" t="str">
        <f t="shared" si="12"/>
        <v>Leistungswert eintragen</v>
      </c>
      <c r="U69" s="4">
        <f t="shared" si="13"/>
        <v>0</v>
      </c>
    </row>
    <row r="70" spans="1:21" ht="15" customHeight="1" x14ac:dyDescent="0.2">
      <c r="A70" s="22">
        <v>49</v>
      </c>
      <c r="B70" s="91"/>
      <c r="C70" s="92" t="s">
        <v>271</v>
      </c>
      <c r="D70" s="92"/>
      <c r="E70" s="92" t="s">
        <v>540</v>
      </c>
      <c r="F70" s="92" t="s">
        <v>242</v>
      </c>
      <c r="G70" s="62">
        <v>7.69</v>
      </c>
      <c r="H70" s="62"/>
      <c r="I70" s="62"/>
      <c r="J70" s="22" t="s">
        <v>270</v>
      </c>
      <c r="K70" s="62">
        <v>2</v>
      </c>
      <c r="L70" s="41">
        <f>VLOOKUP(K70,Reinigungstage!A10:F31,6,FALSE)</f>
        <v>77.59</v>
      </c>
      <c r="M70" s="41">
        <f t="shared" si="7"/>
        <v>596.66999999999996</v>
      </c>
      <c r="N70" s="93"/>
      <c r="O70" s="41"/>
      <c r="P70" s="41">
        <f t="shared" si="8"/>
        <v>0</v>
      </c>
      <c r="Q70" s="41">
        <f t="shared" si="9"/>
        <v>0</v>
      </c>
      <c r="R70" s="41">
        <f t="shared" si="10"/>
        <v>0</v>
      </c>
      <c r="S70" s="41">
        <f t="shared" si="11"/>
        <v>0</v>
      </c>
      <c r="T70" s="4" t="str">
        <f t="shared" si="12"/>
        <v>Leistungswert eintragen</v>
      </c>
      <c r="U70" s="4">
        <f t="shared" si="13"/>
        <v>0</v>
      </c>
    </row>
  </sheetData>
  <sortState xmlns:xlrd2="http://schemas.microsoft.com/office/spreadsheetml/2017/richdata2" ref="U4:U10">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70">
    <cfRule type="containsText" dxfId="44" priority="1" stopIfTrue="1" operator="containsText" text="SVS prüfen">
      <formula>NOT(ISERROR(SEARCH("SVS prüfen",T22)))</formula>
    </cfRule>
    <cfRule type="containsText" dxfId="43" priority="2" stopIfTrue="1" operator="containsText" text="Leistungswert eintragen">
      <formula>NOT(ISERROR(SEARCH("Leistungswert eintragen",T22)))</formula>
    </cfRule>
  </conditionalFormatting>
  <hyperlinks>
    <hyperlink ref="M1" location="Inhaltsverzeichnis!A1" display="Zurück zum Inhaltsverzeichnis" xr:uid="{00000000-0004-0000-0C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PvH SH&amp;LAmt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93186"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93187"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93188"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T o u r   x m l n s : x s i = " h t t p : / / w w w . w 3 . o r g / 2 0 0 1 / X M L S c h e m a - i n s t a n c e "   x m l n s : x s d = " h t t p : / / w w w . w 3 . o r g / 2 0 0 1 / X M L S c h e m a "   N a m e = " T o u r   1 "   D e s c r i p t i o n = " H i e r   s t e h t   e i n e   B e s c h r e i b u n g   f � r   d i e   T o u r . "   x m l n s = " h t t p : / / m i c r o s o f t . d a t a . v i s u a l i z a t i o n . e n g i n e . t o u r s / 1 . 0 " > < S c e n e s > < S c e n e   C u s t o m M a p G u i d = " 0 0 0 0 0 0 0 0 - 0 0 0 0 - 0 0 0 0 - 0 0 0 0 - 0 0 0 0 0 0 0 0 0 0 0 0 "   C u s t o m M a p I d = " 0 0 0 0 0 0 0 0 - 0 0 0 0 - 0 0 0 0 - 0 0 0 0 - 0 0 0 0 0 0 0 0 0 0 0 0 "   S c e n e I d = " 5 6 1 7 9 6 2 d - 9 5 7 7 - 4 7 e 2 - 8 7 2 e - f f 1 2 2 5 8 2 9 4 e f " > < T r a n s i t i o n > M o v e T o < / T r a n s i t i o n > < E f f e c t > S t a t i o n < / E f f e c t > < T h e m e > B i n g R o a d < / T h e m e > < T h e m e W i t h L a b e l > t r u e < / T h e m e W i t h L a b e l > < F l a t M o d e E n a b l e d > t r u e < / F l a t M o d e E n a b l e d > < D u r a t i o n > 1 0 0 0 0 0 0 0 0 < / D u r a t i o n > < T r a n s i t i o n D u r a t i o n > 3 0 0 0 0 0 0 0 < / T r a n s i t i o n D u r a t i o n > < S p e e d > 0 . 5 < / S p e e d > < F r a m e > < C a m e r a > < L a t i t u d e > 5 0 . 5 4 2 6 8 1 3 9 4 7 6 3 0 4 4 < / L a t i t u d e > < L o n g i t u d e > 1 1 . 8 1 2 8 7 3 8 1 9 8 9 2 1 < / L o n g i t u d e > < R o t a t i o n > 0 < / R o t a t i o n > < P i v o t A n g l e > - 0 . 0 3 3 4 8 7 4 8 6 5 1 0 7 8 8 2 2 1 < / P i v o t A n g l e > < D i s t a n c e > 0 . 1 9 3 2 7 3 5 2 8 3 1 9 9 9 9 9 4 < / D i s t a n c e > < / C a m e r a > < 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 N a m e = " S c h i c h t   1 "   G u i d = " a a c a f 2 d 8 - 6 2 d 7 - 4 7 1 a - 9 b 9 6 - f 8 7 7 3 9 3 7 f 0 7 7 "   R e v = " 1 "   R e v G u i d = " e 6 8 8 e 3 0 3 - 4 5 d 1 - 4 3 9 8 - 9 7 b b - c c 2 c 7 1 7 1 3 7 0 7 " 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i = " h t t p : / / w w w . w 3 . o r g / 2 0 0 1 / X M L S c h e m a - i n s t a n c e "   x m l n s : x s d = " h t t p : / / w w w . w 3 . o r g / 2 0 0 1 / X M L S c h e m a "   x m l n s = " h t t p : / / m i c r o s o f t . d a t a . v i s u a l i z a t i o n . C l i e n t . E x c e l / 1 . 0 " > < T o u r s > < T o u r   N a m e = " T o u r   1 "   I d = " { D 6 7 B 3 E 5 6 - A 9 A A - 4 4 3 A - B F 6 5 - 1 7 3 A B 6 B E 0 C 4 D } "   T o u r I d = " 3 8 0 7 f 0 2 a - c f b e - 4 4 5 c - 9 8 e 5 - c 6 d 0 1 5 4 b 0 6 0 6 "   X m l V e r = " 6 "   M i n X m l V e r = " 3 " > < D e s c r i p t i o n > H i e r   s t e h t   e i n e   B e s c h r e i b u n g   f � r   d i e   T o u r . < / D e s c r i p t i o n > < 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T o u r > < / T o u r s > < / V i s u a l i z a t i o n > 
</file>

<file path=customXml/itemProps1.xml><?xml version="1.0" encoding="utf-8"?>
<ds:datastoreItem xmlns:ds="http://schemas.openxmlformats.org/officeDocument/2006/customXml" ds:itemID="{D67B3E56-A9AA-443A-BF65-173AB6BE0C4D}">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76F40F56-8083-4478-9D8F-A04379D50268}">
  <ds:schemaRefs>
    <ds:schemaRef ds:uri="http://www.w3.org/2001/XMLSchema"/>
    <ds:schemaRef ds:uri="http://microsoft.data.visualization.Client.Excel/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27</vt:i4>
      </vt:variant>
    </vt:vector>
  </HeadingPairs>
  <TitlesOfParts>
    <vt:vector size="44" baseType="lpstr">
      <vt:lpstr>Inhaltsverzeichnis</vt:lpstr>
      <vt:lpstr>Preisübersicht</vt:lpstr>
      <vt:lpstr>SVS UnterhaltsRG</vt:lpstr>
      <vt:lpstr>SVS GrundRG</vt:lpstr>
      <vt:lpstr>Kal Unter PvH AL1</vt:lpstr>
      <vt:lpstr>Kal Grund PvH AL1</vt:lpstr>
      <vt:lpstr>Kal Unter PvH grSchulgeb</vt:lpstr>
      <vt:lpstr>Kal Grund PvH grSchulgeb</vt:lpstr>
      <vt:lpstr>Kal Unter PvH SH</vt:lpstr>
      <vt:lpstr>Kal Grund PvH SH</vt:lpstr>
      <vt:lpstr>Kal Unter PvH soz Gruppe</vt:lpstr>
      <vt:lpstr>Kal Grund PvH soz Gruppe</vt:lpstr>
      <vt:lpstr>Kal Grund PvH WAT</vt:lpstr>
      <vt:lpstr>Kal Rohre u Balken Gesamt</vt:lpstr>
      <vt:lpstr>Kal TeilRG Gesamt</vt:lpstr>
      <vt:lpstr>Kal Verbrauch Gesamt</vt:lpstr>
      <vt:lpstr>Reinigungstage</vt:lpstr>
      <vt:lpstr>Inhaltsverzeichnis!Druckbereich</vt:lpstr>
      <vt:lpstr>'Kal Grund PvH AL1'!Druckbereich</vt:lpstr>
      <vt:lpstr>'Kal Grund PvH grSchulgeb'!Druckbereich</vt:lpstr>
      <vt:lpstr>'Kal Grund PvH SH'!Druckbereich</vt:lpstr>
      <vt:lpstr>'Kal Grund PvH soz Gruppe'!Druckbereich</vt:lpstr>
      <vt:lpstr>'Kal Grund PvH WAT'!Druckbereich</vt:lpstr>
      <vt:lpstr>'Kal Rohre u Balken Gesamt'!Druckbereich</vt:lpstr>
      <vt:lpstr>'Kal TeilRG Gesamt'!Druckbereich</vt:lpstr>
      <vt:lpstr>'Kal Unter PvH AL1'!Druckbereich</vt:lpstr>
      <vt:lpstr>'Kal Unter PvH grSchulgeb'!Druckbereich</vt:lpstr>
      <vt:lpstr>'Kal Unter PvH SH'!Druckbereich</vt:lpstr>
      <vt:lpstr>'Kal Unter PvH soz Gruppe'!Druckbereich</vt:lpstr>
      <vt:lpstr>'Kal Verbrauch Gesamt'!Druckbereich</vt:lpstr>
      <vt:lpstr>Preisübersicht!Druckbereich</vt:lpstr>
      <vt:lpstr>'SVS GrundRG'!Druckbereich</vt:lpstr>
      <vt:lpstr>'SVS UnterhaltsRG'!Druckbereich</vt:lpstr>
      <vt:lpstr>'Kal Grund PvH AL1'!Drucktitel</vt:lpstr>
      <vt:lpstr>'Kal Grund PvH grSchulgeb'!Drucktitel</vt:lpstr>
      <vt:lpstr>'Kal Grund PvH SH'!Drucktitel</vt:lpstr>
      <vt:lpstr>'Kal Grund PvH soz Gruppe'!Drucktitel</vt:lpstr>
      <vt:lpstr>'Kal Grund PvH WAT'!Drucktitel</vt:lpstr>
      <vt:lpstr>'Kal TeilRG Gesamt'!Drucktitel</vt:lpstr>
      <vt:lpstr>'Kal Unter PvH AL1'!Drucktitel</vt:lpstr>
      <vt:lpstr>'Kal Unter PvH grSchulgeb'!Drucktitel</vt:lpstr>
      <vt:lpstr>'Kal Unter PvH SH'!Drucktitel</vt:lpstr>
      <vt:lpstr>'Kal Unter PvH soz Gruppe'!Drucktitel</vt:lpstr>
      <vt:lpstr>Preisübersicht!Drucktitel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Torsten Günther</dc:creator>
  <cp:lastModifiedBy>Therese Pissalla</cp:lastModifiedBy>
  <cp:lastPrinted>2024-05-16T11:26:23Z</cp:lastPrinted>
  <dcterms:created xsi:type="dcterms:W3CDTF">2012-06-08T19:50:39Z</dcterms:created>
  <dcterms:modified xsi:type="dcterms:W3CDTF">2026-08-26T08:30:06Z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ad21cca4-380d-4149-a11d-405a40d038e6</vt:lpwstr>
  </property>
</Properties>
</file>